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 tabRatio="594" firstSheet="27" activeTab="30"/>
  </bookViews>
  <sheets>
    <sheet name="норм шт" sheetId="1" r:id="rId1"/>
    <sheet name="рас нор чис АУП" sheetId="2" r:id="rId2"/>
    <sheet name="расч.числ рабочих" sheetId="37" r:id="rId3"/>
    <sheet name="сетка" sheetId="3" r:id="rId4"/>
    <sheet name="ШТАТ" sheetId="5" r:id="rId5"/>
    <sheet name="2.2" sheetId="6" r:id="rId6"/>
    <sheet name="2.1" sheetId="7" r:id="rId7"/>
    <sheet name="1.4" sheetId="10" r:id="rId8"/>
    <sheet name="норм маш" sheetId="11" r:id="rId9"/>
    <sheet name="прочие" sheetId="12" r:id="rId10"/>
    <sheet name="командировки" sheetId="38" r:id="rId11"/>
    <sheet name="проезд в отпуск" sheetId="41" r:id="rId12"/>
    <sheet name="соцнужды кенада" sheetId="42" r:id="rId13"/>
    <sheet name="1.15" sheetId="14" r:id="rId14"/>
    <sheet name="нвв" sheetId="15" r:id="rId15"/>
    <sheet name="1.16" sheetId="16" r:id="rId16"/>
    <sheet name="1.20" sheetId="17" r:id="rId17"/>
    <sheet name="1.21" sheetId="18" r:id="rId18"/>
    <sheet name="1.24" sheetId="20" r:id="rId19"/>
    <sheet name="1.25" sheetId="21" r:id="rId20"/>
    <sheet name="МАТЕР ВСЕГО" sheetId="22" r:id="rId21"/>
    <sheet name="МАТЕРИАЛЫ" sheetId="23" r:id="rId22"/>
    <sheet name="МАТ АВТО" sheetId="24" r:id="rId23"/>
    <sheet name="МАТ ЭЛ БЕЗ охрана труда" sheetId="25" r:id="rId24"/>
    <sheet name="КОММУН" sheetId="26" r:id="rId25"/>
    <sheet name="СПЕЦ ЖИД" sheetId="27" r:id="rId26"/>
    <sheet name="ТОПЛИВО" sheetId="28" r:id="rId27"/>
    <sheet name="КАП ВЛОЖ" sheetId="29" r:id="rId28"/>
    <sheet name="расчет ам" sheetId="31" r:id="rId29"/>
    <sheet name="расчет среднегодов стоим" sheetId="32" r:id="rId30"/>
    <sheet name="мэс" sheetId="36" r:id="rId31"/>
  </sheets>
  <externalReferences>
    <externalReference r:id="rId32"/>
  </externalReferences>
  <calcPr calcId="152511"/>
</workbook>
</file>

<file path=xl/calcChain.xml><?xml version="1.0" encoding="utf-8"?>
<calcChain xmlns="http://schemas.openxmlformats.org/spreadsheetml/2006/main">
  <c r="E26" i="42" l="1"/>
  <c r="E25" i="42"/>
  <c r="E24" i="42"/>
  <c r="E23" i="42"/>
  <c r="E22" i="42"/>
  <c r="E21" i="42"/>
  <c r="E20" i="42"/>
  <c r="E19" i="42"/>
  <c r="E18" i="42"/>
  <c r="E17" i="42"/>
  <c r="E15" i="42"/>
  <c r="E14" i="42"/>
  <c r="E13" i="42"/>
  <c r="E12" i="42"/>
  <c r="E11" i="42"/>
  <c r="E10" i="42"/>
  <c r="E9" i="42"/>
  <c r="E7" i="42" s="1"/>
  <c r="E28" i="42" s="1"/>
  <c r="E8" i="42"/>
  <c r="C26" i="14" l="1"/>
  <c r="C7" i="18" l="1"/>
  <c r="G15" i="29"/>
  <c r="G30" i="32"/>
  <c r="C30" i="32"/>
  <c r="G22" i="32"/>
  <c r="E22" i="32"/>
  <c r="G13" i="29"/>
  <c r="G12" i="29"/>
  <c r="G11" i="29"/>
  <c r="G10" i="29"/>
  <c r="C38" i="15" l="1"/>
  <c r="C22" i="14"/>
  <c r="C34" i="14" s="1"/>
  <c r="C63" i="15"/>
  <c r="C59" i="15"/>
  <c r="C52" i="15"/>
  <c r="C51" i="15"/>
  <c r="C19" i="15"/>
  <c r="C17" i="15"/>
  <c r="C15" i="15"/>
  <c r="C14" i="15"/>
  <c r="C34" i="15"/>
  <c r="C31" i="15"/>
  <c r="C30" i="15"/>
  <c r="C29" i="15"/>
  <c r="C28" i="15"/>
  <c r="C27" i="15"/>
  <c r="C25" i="15"/>
  <c r="C23" i="15"/>
  <c r="C22" i="15"/>
  <c r="C13" i="15"/>
  <c r="C12" i="15"/>
  <c r="C11" i="15"/>
  <c r="C5" i="15"/>
  <c r="C12" i="18"/>
  <c r="C12" i="31"/>
  <c r="C13" i="31" s="1"/>
  <c r="C11" i="31"/>
  <c r="G24" i="32"/>
  <c r="E28" i="32"/>
  <c r="E21" i="32"/>
  <c r="F21" i="32" s="1"/>
  <c r="E12" i="32"/>
  <c r="E11" i="32"/>
  <c r="F11" i="32" s="1"/>
  <c r="B14" i="32"/>
  <c r="C32" i="18"/>
  <c r="C24" i="18"/>
  <c r="C67" i="15" l="1"/>
  <c r="C40" i="18"/>
  <c r="I18" i="5"/>
  <c r="C42" i="18" l="1"/>
  <c r="C41" i="18" s="1"/>
  <c r="C43" i="18" s="1"/>
  <c r="C10" i="22"/>
  <c r="B16" i="26" l="1"/>
  <c r="B20" i="26" s="1"/>
  <c r="E16" i="26"/>
  <c r="C8" i="26"/>
  <c r="C14" i="26"/>
  <c r="C12" i="26"/>
  <c r="C10" i="26"/>
  <c r="B10" i="22" l="1"/>
  <c r="B4" i="22" s="1"/>
  <c r="F95" i="25"/>
  <c r="F94" i="25"/>
  <c r="F93" i="25"/>
  <c r="F92" i="25"/>
  <c r="F90" i="25"/>
  <c r="F89" i="25"/>
  <c r="F88" i="25"/>
  <c r="F91" i="25"/>
  <c r="F96" i="25" l="1"/>
  <c r="C8" i="10" l="1"/>
  <c r="C16" i="10"/>
  <c r="D8" i="10"/>
  <c r="E62" i="36" l="1"/>
  <c r="F39" i="36"/>
  <c r="F38" i="36"/>
  <c r="F37" i="36"/>
  <c r="F36" i="36"/>
  <c r="F35" i="36"/>
  <c r="F34" i="36"/>
  <c r="E28" i="36"/>
  <c r="G28" i="36" s="1"/>
  <c r="E29" i="36"/>
  <c r="G29" i="36" s="1"/>
  <c r="E30" i="36"/>
  <c r="G30" i="36" s="1"/>
  <c r="E31" i="36"/>
  <c r="G31" i="36" s="1"/>
  <c r="E32" i="36"/>
  <c r="G32" i="36"/>
  <c r="E33" i="36"/>
  <c r="G33" i="36" s="1"/>
  <c r="E34" i="36"/>
  <c r="E35" i="36"/>
  <c r="G35" i="36" s="1"/>
  <c r="E36" i="36"/>
  <c r="G36" i="36" s="1"/>
  <c r="E37" i="36"/>
  <c r="E38" i="36"/>
  <c r="E39" i="36"/>
  <c r="C40" i="36"/>
  <c r="F61" i="36"/>
  <c r="F60" i="36"/>
  <c r="F59" i="36"/>
  <c r="F58" i="36"/>
  <c r="F57" i="36"/>
  <c r="F56" i="36"/>
  <c r="E40" i="36" l="1"/>
  <c r="G34" i="36"/>
  <c r="G38" i="36"/>
  <c r="G40" i="36" s="1"/>
  <c r="G37" i="36"/>
  <c r="G39" i="36"/>
  <c r="E8" i="26" l="1"/>
  <c r="E15" i="26" s="1"/>
  <c r="E10" i="26"/>
  <c r="E12" i="26"/>
  <c r="E14" i="26"/>
  <c r="E17" i="26"/>
  <c r="E18" i="26"/>
  <c r="E19" i="26"/>
  <c r="C25" i="12"/>
  <c r="C106" i="12"/>
  <c r="C95" i="12"/>
  <c r="C7" i="22"/>
  <c r="C4" i="22" s="1"/>
  <c r="F15" i="28"/>
  <c r="F14" i="28"/>
  <c r="F19" i="28"/>
  <c r="F18" i="28"/>
  <c r="F17" i="28"/>
  <c r="F12" i="28"/>
  <c r="F11" i="28"/>
  <c r="F10" i="28"/>
  <c r="F9" i="28"/>
  <c r="E20" i="26" l="1"/>
  <c r="F25" i="12"/>
  <c r="F33" i="12"/>
  <c r="F34" i="12"/>
  <c r="F35" i="12"/>
  <c r="F36" i="12"/>
  <c r="F38" i="12"/>
  <c r="F39" i="12"/>
  <c r="F40" i="12"/>
  <c r="F41" i="12"/>
  <c r="F43" i="12"/>
  <c r="F44" i="12"/>
  <c r="F45" i="12"/>
  <c r="F46" i="12"/>
  <c r="F48" i="12"/>
  <c r="F49" i="12"/>
  <c r="F50" i="12"/>
  <c r="F51" i="12"/>
  <c r="F53" i="12"/>
  <c r="F54" i="12"/>
  <c r="F55" i="12"/>
  <c r="F56" i="12"/>
  <c r="F58" i="12"/>
  <c r="F59" i="12"/>
  <c r="F60" i="12"/>
  <c r="F61" i="12"/>
  <c r="G4" i="11"/>
  <c r="F62" i="12" l="1"/>
  <c r="F78" i="1" l="1"/>
  <c r="L71" i="1"/>
  <c r="D84" i="37"/>
  <c r="D83" i="37"/>
  <c r="D69" i="37"/>
  <c r="D70" i="37" s="1"/>
  <c r="D48" i="37"/>
  <c r="D47" i="37"/>
  <c r="D46" i="37"/>
  <c r="D45" i="37"/>
  <c r="D44" i="37"/>
  <c r="D43" i="37"/>
  <c r="D42" i="37"/>
  <c r="D41" i="37"/>
  <c r="D40" i="37"/>
  <c r="D38" i="37"/>
  <c r="D37" i="37"/>
  <c r="D35" i="37"/>
  <c r="D31" i="37"/>
  <c r="D30" i="37"/>
  <c r="D29" i="37"/>
  <c r="D28" i="37"/>
  <c r="D27" i="37"/>
  <c r="D26" i="37"/>
  <c r="D25" i="37"/>
  <c r="D24" i="37"/>
  <c r="D23" i="37"/>
  <c r="D22" i="37"/>
  <c r="D21" i="37"/>
  <c r="D18" i="37"/>
  <c r="D17" i="37"/>
  <c r="D16" i="37"/>
  <c r="D11" i="37"/>
  <c r="D10" i="37"/>
  <c r="D12" i="37" s="1"/>
  <c r="E19" i="2"/>
  <c r="E18" i="2"/>
  <c r="E26" i="2" s="1"/>
  <c r="E27" i="2" s="1"/>
  <c r="D13" i="37" l="1"/>
  <c r="D49" i="37" s="1"/>
  <c r="D50" i="37" s="1"/>
  <c r="D51" i="37" s="1"/>
  <c r="D86" i="37" s="1"/>
  <c r="I61" i="12" l="1"/>
  <c r="I60" i="12"/>
  <c r="I59" i="12"/>
  <c r="I58" i="12"/>
  <c r="I56" i="12"/>
  <c r="I55" i="12"/>
  <c r="I54" i="12"/>
  <c r="I51" i="12"/>
  <c r="I50" i="12"/>
  <c r="I49" i="12"/>
  <c r="I48" i="12"/>
  <c r="I46" i="12"/>
  <c r="I45" i="12"/>
  <c r="I44" i="12"/>
  <c r="I43" i="12"/>
  <c r="I41" i="12"/>
  <c r="I40" i="12"/>
  <c r="I39" i="12"/>
  <c r="I36" i="12"/>
  <c r="I35" i="12"/>
  <c r="I34" i="12"/>
  <c r="I33" i="12"/>
  <c r="I62" i="12" l="1"/>
  <c r="D25" i="21"/>
  <c r="J50" i="5" l="1"/>
  <c r="J49" i="5"/>
  <c r="I65" i="5"/>
  <c r="I64" i="5"/>
  <c r="I63" i="5"/>
  <c r="I62" i="5"/>
  <c r="I61" i="5"/>
  <c r="F72" i="5"/>
  <c r="L46" i="1"/>
  <c r="L45" i="1"/>
  <c r="L44" i="1"/>
  <c r="L43" i="1"/>
  <c r="L64" i="1"/>
  <c r="L63" i="1"/>
  <c r="L62" i="1"/>
  <c r="L65" i="1"/>
  <c r="G67" i="1"/>
  <c r="L61" i="1"/>
  <c r="L18" i="27"/>
  <c r="J50" i="27"/>
  <c r="H19" i="28"/>
  <c r="E48" i="11"/>
  <c r="E33" i="11"/>
  <c r="E49" i="11" s="1"/>
  <c r="D46" i="11"/>
  <c r="D44" i="11"/>
  <c r="D43" i="11"/>
  <c r="D41" i="11"/>
  <c r="D40" i="11"/>
  <c r="D39" i="11"/>
  <c r="D29" i="11"/>
  <c r="D27" i="11"/>
  <c r="D24" i="11"/>
  <c r="D23" i="11"/>
  <c r="D22" i="11"/>
  <c r="D21" i="11"/>
  <c r="D20" i="11"/>
  <c r="D19" i="11"/>
  <c r="D18" i="11"/>
  <c r="G10" i="11"/>
  <c r="D45" i="11" s="1"/>
  <c r="D37" i="11"/>
  <c r="G5" i="11"/>
  <c r="D42" i="11" s="1"/>
  <c r="D38" i="11"/>
  <c r="G3" i="11"/>
  <c r="D15" i="11" s="1"/>
  <c r="E25" i="12"/>
  <c r="D25" i="12"/>
  <c r="E106" i="12"/>
  <c r="E95" i="12"/>
  <c r="K49" i="5" l="1"/>
  <c r="L49" i="5" s="1"/>
  <c r="K50" i="5"/>
  <c r="L50" i="5" s="1"/>
  <c r="J61" i="5"/>
  <c r="J62" i="5"/>
  <c r="K62" i="5"/>
  <c r="L62" i="5" s="1"/>
  <c r="J63" i="5"/>
  <c r="J64" i="5"/>
  <c r="K64" i="5"/>
  <c r="L64" i="5" s="1"/>
  <c r="J65" i="5"/>
  <c r="D14" i="11"/>
  <c r="D17" i="11"/>
  <c r="D25" i="11"/>
  <c r="D26" i="11"/>
  <c r="D28" i="11"/>
  <c r="D30" i="11"/>
  <c r="D31" i="11"/>
  <c r="D32" i="11"/>
  <c r="D35" i="11"/>
  <c r="D36" i="11"/>
  <c r="D33" i="11" l="1"/>
  <c r="D34" i="11" s="1"/>
  <c r="M64" i="5"/>
  <c r="N64" i="5" s="1"/>
  <c r="M62" i="5"/>
  <c r="N62" i="5" s="1"/>
  <c r="K65" i="5"/>
  <c r="L65" i="5" s="1"/>
  <c r="K63" i="5"/>
  <c r="L63" i="5" s="1"/>
  <c r="K61" i="5"/>
  <c r="L61" i="5" s="1"/>
  <c r="M50" i="5"/>
  <c r="N50" i="5" s="1"/>
  <c r="M49" i="5"/>
  <c r="N49" i="5" s="1"/>
  <c r="D47" i="11"/>
  <c r="D48" i="11" s="1"/>
  <c r="M65" i="5" l="1"/>
  <c r="N65" i="5" s="1"/>
  <c r="M61" i="5"/>
  <c r="N61" i="5" s="1"/>
  <c r="M63" i="5"/>
  <c r="N63" i="5" s="1"/>
  <c r="D49" i="11"/>
  <c r="C17" i="10" l="1"/>
  <c r="F12" i="10"/>
  <c r="F55" i="36" l="1"/>
  <c r="F54" i="36"/>
  <c r="F53" i="36"/>
  <c r="F52" i="36"/>
  <c r="F51" i="36"/>
  <c r="F50" i="36"/>
  <c r="C62" i="36"/>
  <c r="E61" i="36"/>
  <c r="G61" i="36" s="1"/>
  <c r="E60" i="36"/>
  <c r="E59" i="36"/>
  <c r="G59" i="36" s="1"/>
  <c r="E58" i="36"/>
  <c r="G58" i="36" s="1"/>
  <c r="E57" i="36"/>
  <c r="G57" i="36" s="1"/>
  <c r="E56" i="36"/>
  <c r="E55" i="36"/>
  <c r="E54" i="36"/>
  <c r="G54" i="36" s="1"/>
  <c r="E53" i="36"/>
  <c r="E52" i="36"/>
  <c r="E51" i="36"/>
  <c r="E50" i="36"/>
  <c r="G50" i="36" s="1"/>
  <c r="G19" i="36"/>
  <c r="G18" i="36"/>
  <c r="G17" i="36"/>
  <c r="G16" i="36"/>
  <c r="G15" i="36"/>
  <c r="G14" i="36"/>
  <c r="G13" i="36"/>
  <c r="G12" i="36"/>
  <c r="G11" i="36"/>
  <c r="G10" i="36"/>
  <c r="G9" i="36"/>
  <c r="G8" i="36"/>
  <c r="E8" i="36"/>
  <c r="E19" i="36"/>
  <c r="E18" i="36"/>
  <c r="E17" i="36"/>
  <c r="E16" i="36"/>
  <c r="E15" i="36"/>
  <c r="E14" i="36"/>
  <c r="E13" i="36"/>
  <c r="E12" i="36"/>
  <c r="E11" i="36"/>
  <c r="E10" i="36"/>
  <c r="E9" i="36"/>
  <c r="E20" i="36" s="1"/>
  <c r="E42" i="36" s="1"/>
  <c r="G53" i="36" l="1"/>
  <c r="G51" i="36"/>
  <c r="G55" i="36"/>
  <c r="G20" i="36"/>
  <c r="G52" i="36"/>
  <c r="G56" i="36"/>
  <c r="G60" i="36"/>
  <c r="G80" i="12"/>
  <c r="G79" i="12"/>
  <c r="G78" i="12"/>
  <c r="G77" i="12"/>
  <c r="G76" i="12"/>
  <c r="G75" i="12"/>
  <c r="G74" i="12"/>
  <c r="G73" i="12"/>
  <c r="G72" i="12"/>
  <c r="G71" i="12"/>
  <c r="G70" i="12"/>
  <c r="G69" i="12"/>
  <c r="C21" i="10"/>
  <c r="C18" i="10"/>
  <c r="G9" i="10"/>
  <c r="G8" i="10" s="1"/>
  <c r="G19" i="10" s="1"/>
  <c r="E8" i="10"/>
  <c r="F11" i="10"/>
  <c r="F9" i="10" s="1"/>
  <c r="F8" i="10" s="1"/>
  <c r="F19" i="10" s="1"/>
  <c r="D26" i="21"/>
  <c r="D15" i="20"/>
  <c r="D27" i="20" s="1"/>
  <c r="C27" i="14"/>
  <c r="G62" i="36" l="1"/>
  <c r="E64" i="36" s="1"/>
  <c r="G81" i="12"/>
  <c r="C38" i="14"/>
  <c r="C50" i="14" s="1"/>
  <c r="C53" i="14" s="1"/>
  <c r="C69" i="15"/>
  <c r="C19" i="10"/>
  <c r="D14" i="20"/>
  <c r="F80" i="25"/>
  <c r="H22" i="25"/>
  <c r="H21" i="25"/>
  <c r="H43" i="25"/>
  <c r="H32" i="25"/>
  <c r="D16" i="16"/>
  <c r="C25" i="17"/>
  <c r="C26" i="17" s="1"/>
  <c r="D20" i="16" l="1"/>
  <c r="D23" i="16"/>
  <c r="D26" i="16"/>
  <c r="D29" i="16"/>
  <c r="D32" i="16"/>
  <c r="D35" i="16"/>
  <c r="D38" i="16" l="1"/>
  <c r="D39" i="16" s="1"/>
  <c r="D44" i="16" l="1"/>
  <c r="D45" i="16" s="1"/>
  <c r="E29" i="32"/>
  <c r="F29" i="32" s="1"/>
  <c r="F28" i="32"/>
  <c r="F24" i="32" s="1"/>
  <c r="F22" i="32"/>
  <c r="F19" i="32" s="1"/>
  <c r="E18" i="32"/>
  <c r="F18" i="32" s="1"/>
  <c r="E17" i="32"/>
  <c r="F17" i="32" s="1"/>
  <c r="E13" i="32"/>
  <c r="F13" i="32" s="1"/>
  <c r="F12" i="32"/>
  <c r="B24" i="32"/>
  <c r="G19" i="32"/>
  <c r="E19" i="32"/>
  <c r="B19" i="32"/>
  <c r="G14" i="32"/>
  <c r="G9" i="32"/>
  <c r="B9" i="32"/>
  <c r="B8" i="32" s="1"/>
  <c r="H47" i="25"/>
  <c r="H46" i="25"/>
  <c r="H45" i="25"/>
  <c r="H44" i="25"/>
  <c r="H42" i="25"/>
  <c r="H41" i="25"/>
  <c r="H40" i="25"/>
  <c r="H39" i="25"/>
  <c r="H38" i="25"/>
  <c r="H37" i="25"/>
  <c r="H36" i="25"/>
  <c r="H35" i="25"/>
  <c r="H34" i="25"/>
  <c r="H33" i="25"/>
  <c r="H31" i="25"/>
  <c r="H30" i="25"/>
  <c r="H29" i="25"/>
  <c r="H28" i="25"/>
  <c r="H26" i="25"/>
  <c r="H25" i="25"/>
  <c r="H24" i="25"/>
  <c r="H23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7" i="25"/>
  <c r="H6" i="25"/>
  <c r="H5" i="25"/>
  <c r="H4" i="25"/>
  <c r="G79" i="23"/>
  <c r="I63" i="24"/>
  <c r="I62" i="24"/>
  <c r="I61" i="24"/>
  <c r="I60" i="24"/>
  <c r="I59" i="24"/>
  <c r="I58" i="24"/>
  <c r="I57" i="24"/>
  <c r="I56" i="24"/>
  <c r="I55" i="24"/>
  <c r="I54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H18" i="28"/>
  <c r="H17" i="28"/>
  <c r="F16" i="28"/>
  <c r="H16" i="28" s="1"/>
  <c r="H12" i="28"/>
  <c r="H15" i="28"/>
  <c r="H14" i="28"/>
  <c r="H13" i="28"/>
  <c r="H11" i="28"/>
  <c r="H10" i="28"/>
  <c r="H9" i="28"/>
  <c r="D37" i="27"/>
  <c r="D36" i="27"/>
  <c r="D35" i="27"/>
  <c r="H57" i="27" s="1"/>
  <c r="L20" i="27"/>
  <c r="K20" i="27"/>
  <c r="J20" i="27"/>
  <c r="I20" i="27"/>
  <c r="L15" i="27"/>
  <c r="E8" i="27"/>
  <c r="E7" i="27"/>
  <c r="E6" i="27"/>
  <c r="E5" i="27"/>
  <c r="I26" i="27" s="1"/>
  <c r="G162" i="23"/>
  <c r="G161" i="23"/>
  <c r="G160" i="23"/>
  <c r="E130" i="23"/>
  <c r="E129" i="23"/>
  <c r="E128" i="23"/>
  <c r="E127" i="23"/>
  <c r="E126" i="23"/>
  <c r="E125" i="23"/>
  <c r="D147" i="23" s="1"/>
  <c r="E147" i="23" s="1"/>
  <c r="F101" i="23"/>
  <c r="F95" i="23"/>
  <c r="F94" i="23"/>
  <c r="F93" i="23"/>
  <c r="F92" i="23"/>
  <c r="F91" i="23"/>
  <c r="D112" i="23" s="1"/>
  <c r="E112" i="23" s="1"/>
  <c r="G112" i="23" s="1"/>
  <c r="G81" i="23"/>
  <c r="G80" i="23"/>
  <c r="C68" i="23"/>
  <c r="F68" i="23" s="1"/>
  <c r="C67" i="23"/>
  <c r="F67" i="23" s="1"/>
  <c r="C66" i="23"/>
  <c r="F66" i="23" s="1"/>
  <c r="C65" i="23"/>
  <c r="F65" i="23" s="1"/>
  <c r="E55" i="23"/>
  <c r="G55" i="23" s="1"/>
  <c r="C41" i="23"/>
  <c r="F41" i="23" s="1"/>
  <c r="C40" i="23"/>
  <c r="F40" i="23" s="1"/>
  <c r="C39" i="23"/>
  <c r="F39" i="23" s="1"/>
  <c r="C38" i="23"/>
  <c r="F38" i="23" s="1"/>
  <c r="E27" i="23"/>
  <c r="E28" i="23" s="1"/>
  <c r="G28" i="23" s="1"/>
  <c r="C13" i="23"/>
  <c r="F13" i="23" s="1"/>
  <c r="C12" i="23"/>
  <c r="F12" i="23" s="1"/>
  <c r="C11" i="23"/>
  <c r="F11" i="23" s="1"/>
  <c r="C10" i="23"/>
  <c r="F10" i="23" s="1"/>
  <c r="C6" i="20"/>
  <c r="H39" i="7"/>
  <c r="H33" i="7"/>
  <c r="H32" i="7"/>
  <c r="H31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I34" i="5"/>
  <c r="L33" i="1"/>
  <c r="L28" i="1"/>
  <c r="I20" i="5"/>
  <c r="J20" i="5" s="1"/>
  <c r="I22" i="5"/>
  <c r="I23" i="5"/>
  <c r="I24" i="5"/>
  <c r="I29" i="5"/>
  <c r="I30" i="5"/>
  <c r="I51" i="5"/>
  <c r="I48" i="5"/>
  <c r="I47" i="5"/>
  <c r="I46" i="5"/>
  <c r="I45" i="5"/>
  <c r="I44" i="5"/>
  <c r="I43" i="5"/>
  <c r="I42" i="5"/>
  <c r="I41" i="5"/>
  <c r="I79" i="5"/>
  <c r="L31" i="1"/>
  <c r="L30" i="1"/>
  <c r="G23" i="1"/>
  <c r="F25" i="5"/>
  <c r="F52" i="5"/>
  <c r="G48" i="1"/>
  <c r="A10" i="1"/>
  <c r="A11" i="1" s="1"/>
  <c r="A12" i="1" s="1"/>
  <c r="A13" i="1" s="1"/>
  <c r="A16" i="1"/>
  <c r="A17" i="1"/>
  <c r="A18" i="1" s="1"/>
  <c r="A19" i="1" s="1"/>
  <c r="A20" i="1" s="1"/>
  <c r="A21" i="1" s="1"/>
  <c r="A22" i="1" s="1"/>
  <c r="F80" i="5"/>
  <c r="I32" i="5"/>
  <c r="I31" i="5"/>
  <c r="I78" i="5"/>
  <c r="I77" i="5"/>
  <c r="J77" i="5" s="1"/>
  <c r="I76" i="5"/>
  <c r="J76" i="5" s="1"/>
  <c r="I71" i="5"/>
  <c r="I70" i="5"/>
  <c r="J70" i="5" s="1"/>
  <c r="I69" i="5"/>
  <c r="J69" i="5" s="1"/>
  <c r="I68" i="5"/>
  <c r="J68" i="5" s="1"/>
  <c r="I67" i="5"/>
  <c r="J67" i="5" s="1"/>
  <c r="I66" i="5"/>
  <c r="J66" i="5" s="1"/>
  <c r="I60" i="5"/>
  <c r="J60" i="5" s="1"/>
  <c r="I59" i="5"/>
  <c r="J59" i="5" s="1"/>
  <c r="I58" i="5"/>
  <c r="J58" i="5" s="1"/>
  <c r="I57" i="5"/>
  <c r="J57" i="5" s="1"/>
  <c r="I56" i="5"/>
  <c r="J56" i="5" s="1"/>
  <c r="I36" i="5"/>
  <c r="I35" i="5"/>
  <c r="I33" i="5"/>
  <c r="I21" i="5"/>
  <c r="I19" i="5"/>
  <c r="I17" i="5"/>
  <c r="I16" i="5"/>
  <c r="I15" i="5"/>
  <c r="I14" i="5"/>
  <c r="I13" i="5"/>
  <c r="I12" i="5"/>
  <c r="I11" i="5"/>
  <c r="I10" i="5"/>
  <c r="L9" i="1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M20" i="27" l="1"/>
  <c r="G8" i="32"/>
  <c r="E9" i="32"/>
  <c r="F9" i="32"/>
  <c r="F14" i="23"/>
  <c r="D23" i="23" s="1"/>
  <c r="E23" i="23" s="1"/>
  <c r="G23" i="23" s="1"/>
  <c r="I65" i="24"/>
  <c r="G54" i="6"/>
  <c r="H47" i="7"/>
  <c r="F81" i="5"/>
  <c r="J23" i="5"/>
  <c r="K20" i="5"/>
  <c r="L20" i="5" s="1"/>
  <c r="H41" i="7"/>
  <c r="F42" i="23"/>
  <c r="D53" i="23" s="1"/>
  <c r="E53" i="23" s="1"/>
  <c r="G53" i="23" s="1"/>
  <c r="J26" i="27"/>
  <c r="M26" i="27" s="1"/>
  <c r="K18" i="27"/>
  <c r="B30" i="32"/>
  <c r="K26" i="27"/>
  <c r="I18" i="27"/>
  <c r="H30" i="7"/>
  <c r="F69" i="23"/>
  <c r="D75" i="23" s="1"/>
  <c r="E75" i="23" s="1"/>
  <c r="G75" i="23" s="1"/>
  <c r="L26" i="27"/>
  <c r="J18" i="27"/>
  <c r="E14" i="32"/>
  <c r="G147" i="23"/>
  <c r="H20" i="28"/>
  <c r="H48" i="25"/>
  <c r="F14" i="32"/>
  <c r="I57" i="27"/>
  <c r="H50" i="27"/>
  <c r="J57" i="27"/>
  <c r="K57" i="27" s="1"/>
  <c r="I50" i="27"/>
  <c r="E24" i="32"/>
  <c r="I13" i="27"/>
  <c r="J13" i="27"/>
  <c r="K13" i="27"/>
  <c r="L13" i="27"/>
  <c r="I14" i="27"/>
  <c r="J14" i="27"/>
  <c r="K14" i="27"/>
  <c r="L14" i="27"/>
  <c r="I15" i="27"/>
  <c r="J15" i="27"/>
  <c r="K15" i="27"/>
  <c r="I16" i="27"/>
  <c r="J16" i="27"/>
  <c r="K16" i="27"/>
  <c r="L16" i="27"/>
  <c r="I17" i="27"/>
  <c r="J17" i="27"/>
  <c r="K17" i="27"/>
  <c r="L17" i="27"/>
  <c r="I19" i="27"/>
  <c r="J19" i="27"/>
  <c r="K19" i="27"/>
  <c r="L19" i="27"/>
  <c r="I25" i="27"/>
  <c r="J25" i="27"/>
  <c r="K25" i="27"/>
  <c r="L25" i="27"/>
  <c r="H43" i="27"/>
  <c r="I43" i="27"/>
  <c r="J43" i="27"/>
  <c r="H44" i="27"/>
  <c r="I44" i="27"/>
  <c r="J44" i="27"/>
  <c r="H45" i="27"/>
  <c r="I45" i="27"/>
  <c r="J45" i="27"/>
  <c r="H46" i="27"/>
  <c r="I46" i="27"/>
  <c r="J46" i="27"/>
  <c r="H47" i="27"/>
  <c r="I47" i="27"/>
  <c r="J47" i="27"/>
  <c r="H48" i="27"/>
  <c r="I48" i="27"/>
  <c r="J48" i="27"/>
  <c r="H49" i="27"/>
  <c r="I49" i="27"/>
  <c r="J49" i="27"/>
  <c r="H51" i="27"/>
  <c r="I51" i="27"/>
  <c r="J51" i="27"/>
  <c r="H56" i="27"/>
  <c r="I56" i="27"/>
  <c r="J56" i="27"/>
  <c r="D26" i="23"/>
  <c r="E26" i="23" s="1"/>
  <c r="G26" i="23" s="1"/>
  <c r="G27" i="23"/>
  <c r="F96" i="23"/>
  <c r="E131" i="23"/>
  <c r="G51" i="6"/>
  <c r="J34" i="5"/>
  <c r="K34" i="5" s="1"/>
  <c r="L34" i="5" s="1"/>
  <c r="J24" i="5"/>
  <c r="K24" i="5" s="1"/>
  <c r="L24" i="5" s="1"/>
  <c r="J29" i="5"/>
  <c r="K29" i="5" s="1"/>
  <c r="L29" i="5" s="1"/>
  <c r="J30" i="5"/>
  <c r="K30" i="5" s="1"/>
  <c r="L30" i="5" s="1"/>
  <c r="J48" i="5"/>
  <c r="K48" i="5" s="1"/>
  <c r="L48" i="5" s="1"/>
  <c r="J43" i="5"/>
  <c r="K43" i="5" s="1"/>
  <c r="L43" i="5" s="1"/>
  <c r="J42" i="5"/>
  <c r="K42" i="5" s="1"/>
  <c r="L42" i="5" s="1"/>
  <c r="J41" i="5"/>
  <c r="K41" i="5" s="1"/>
  <c r="J32" i="5"/>
  <c r="K32" i="5" s="1"/>
  <c r="L32" i="5" s="1"/>
  <c r="J31" i="5"/>
  <c r="K31" i="5"/>
  <c r="L31" i="5" s="1"/>
  <c r="J10" i="5"/>
  <c r="K10" i="5" s="1"/>
  <c r="J11" i="5"/>
  <c r="K11" i="5"/>
  <c r="J12" i="5"/>
  <c r="K12" i="5" s="1"/>
  <c r="L12" i="5" s="1"/>
  <c r="J13" i="5"/>
  <c r="K13" i="5"/>
  <c r="L13" i="5" s="1"/>
  <c r="J14" i="5"/>
  <c r="K14" i="5" s="1"/>
  <c r="L14" i="5" s="1"/>
  <c r="J15" i="5"/>
  <c r="K15" i="5"/>
  <c r="L15" i="5" s="1"/>
  <c r="J16" i="5"/>
  <c r="K16" i="5" s="1"/>
  <c r="L16" i="5" s="1"/>
  <c r="J17" i="5"/>
  <c r="K17" i="5"/>
  <c r="L17" i="5" s="1"/>
  <c r="J18" i="5"/>
  <c r="K18" i="5" s="1"/>
  <c r="L18" i="5" s="1"/>
  <c r="J19" i="5"/>
  <c r="K19" i="5" s="1"/>
  <c r="L19" i="5" s="1"/>
  <c r="J21" i="5"/>
  <c r="K21" i="5" s="1"/>
  <c r="L21" i="5" s="1"/>
  <c r="J22" i="5"/>
  <c r="K22" i="5"/>
  <c r="L22" i="5" s="1"/>
  <c r="J33" i="5"/>
  <c r="K33" i="5" s="1"/>
  <c r="J35" i="5"/>
  <c r="K35" i="5"/>
  <c r="L35" i="5" s="1"/>
  <c r="J36" i="5"/>
  <c r="K36" i="5" s="1"/>
  <c r="J44" i="5"/>
  <c r="K44" i="5" s="1"/>
  <c r="J45" i="5"/>
  <c r="K45" i="5" s="1"/>
  <c r="L45" i="5" s="1"/>
  <c r="J46" i="5"/>
  <c r="K46" i="5" s="1"/>
  <c r="L46" i="5" s="1"/>
  <c r="J47" i="5"/>
  <c r="K47" i="5" s="1"/>
  <c r="L47" i="5" s="1"/>
  <c r="J51" i="5"/>
  <c r="K51" i="5" s="1"/>
  <c r="L51" i="5" s="1"/>
  <c r="K56" i="5"/>
  <c r="K57" i="5"/>
  <c r="L57" i="5" s="1"/>
  <c r="K58" i="5"/>
  <c r="L58" i="5" s="1"/>
  <c r="K59" i="5"/>
  <c r="L59" i="5" s="1"/>
  <c r="K60" i="5"/>
  <c r="L60" i="5" s="1"/>
  <c r="K66" i="5"/>
  <c r="L66" i="5" s="1"/>
  <c r="K67" i="5"/>
  <c r="L67" i="5" s="1"/>
  <c r="K68" i="5"/>
  <c r="L68" i="5" s="1"/>
  <c r="K69" i="5"/>
  <c r="L69" i="5" s="1"/>
  <c r="K70" i="5"/>
  <c r="L70" i="5" s="1"/>
  <c r="J71" i="5"/>
  <c r="J72" i="5" s="1"/>
  <c r="K71" i="5"/>
  <c r="K76" i="5"/>
  <c r="L76" i="5" s="1"/>
  <c r="K77" i="5"/>
  <c r="J78" i="5"/>
  <c r="K78" i="5"/>
  <c r="L78" i="5" s="1"/>
  <c r="J79" i="5"/>
  <c r="K79" i="5" s="1"/>
  <c r="F8" i="32" l="1"/>
  <c r="F30" i="32" s="1"/>
  <c r="E8" i="32"/>
  <c r="D21" i="23"/>
  <c r="E21" i="23" s="1"/>
  <c r="G21" i="23" s="1"/>
  <c r="D22" i="23"/>
  <c r="E22" i="23" s="1"/>
  <c r="D76" i="23"/>
  <c r="E76" i="23" s="1"/>
  <c r="G76" i="23" s="1"/>
  <c r="D24" i="23"/>
  <c r="D54" i="23"/>
  <c r="E54" i="23" s="1"/>
  <c r="G54" i="23" s="1"/>
  <c r="D25" i="23"/>
  <c r="E25" i="23" s="1"/>
  <c r="G25" i="23" s="1"/>
  <c r="D50" i="23"/>
  <c r="E50" i="23" s="1"/>
  <c r="G50" i="23" s="1"/>
  <c r="M23" i="5"/>
  <c r="N23" i="5" s="1"/>
  <c r="K23" i="5"/>
  <c r="L23" i="5" s="1"/>
  <c r="M20" i="5"/>
  <c r="N20" i="5" s="1"/>
  <c r="L10" i="5"/>
  <c r="M10" i="5" s="1"/>
  <c r="K25" i="5"/>
  <c r="D77" i="23"/>
  <c r="E77" i="23" s="1"/>
  <c r="G77" i="23" s="1"/>
  <c r="D51" i="23"/>
  <c r="E51" i="23" s="1"/>
  <c r="G51" i="23" s="1"/>
  <c r="D78" i="23"/>
  <c r="E78" i="23" s="1"/>
  <c r="G78" i="23" s="1"/>
  <c r="D52" i="23"/>
  <c r="E30" i="32"/>
  <c r="J80" i="5"/>
  <c r="J37" i="5"/>
  <c r="J25" i="5"/>
  <c r="D49" i="23"/>
  <c r="E49" i="23" s="1"/>
  <c r="G49" i="23" s="1"/>
  <c r="M18" i="27"/>
  <c r="J52" i="5"/>
  <c r="L41" i="5"/>
  <c r="M41" i="5" s="1"/>
  <c r="K52" i="5"/>
  <c r="L36" i="5"/>
  <c r="M36" i="5" s="1"/>
  <c r="K37" i="5"/>
  <c r="L79" i="5"/>
  <c r="M79" i="5" s="1"/>
  <c r="K80" i="5"/>
  <c r="K50" i="27"/>
  <c r="M34" i="5"/>
  <c r="N34" i="5" s="1"/>
  <c r="M30" i="5"/>
  <c r="N30" i="5" s="1"/>
  <c r="M29" i="5"/>
  <c r="N29" i="5" s="1"/>
  <c r="M24" i="5"/>
  <c r="N24" i="5" s="1"/>
  <c r="K56" i="27"/>
  <c r="K58" i="27" s="1"/>
  <c r="K51" i="27"/>
  <c r="K49" i="27"/>
  <c r="K48" i="27"/>
  <c r="K47" i="27"/>
  <c r="K46" i="27"/>
  <c r="K45" i="27"/>
  <c r="K44" i="27"/>
  <c r="K43" i="27"/>
  <c r="M25" i="27"/>
  <c r="M27" i="27" s="1"/>
  <c r="M19" i="27"/>
  <c r="M17" i="27"/>
  <c r="M16" i="27"/>
  <c r="M15" i="27"/>
  <c r="M14" i="27"/>
  <c r="M13" i="27"/>
  <c r="D163" i="23"/>
  <c r="E163" i="23" s="1"/>
  <c r="G163" i="23" s="1"/>
  <c r="D148" i="23"/>
  <c r="D146" i="23"/>
  <c r="E146" i="23" s="1"/>
  <c r="G146" i="23" s="1"/>
  <c r="D145" i="23"/>
  <c r="E145" i="23" s="1"/>
  <c r="G145" i="23" s="1"/>
  <c r="D144" i="23"/>
  <c r="E144" i="23" s="1"/>
  <c r="G144" i="23" s="1"/>
  <c r="D143" i="23"/>
  <c r="E143" i="23" s="1"/>
  <c r="G143" i="23" s="1"/>
  <c r="D142" i="23"/>
  <c r="E142" i="23" s="1"/>
  <c r="G142" i="23" s="1"/>
  <c r="D141" i="23"/>
  <c r="E141" i="23" s="1"/>
  <c r="G141" i="23" s="1"/>
  <c r="D140" i="23"/>
  <c r="E140" i="23" s="1"/>
  <c r="G140" i="23" s="1"/>
  <c r="D139" i="23"/>
  <c r="E139" i="23" s="1"/>
  <c r="G139" i="23" s="1"/>
  <c r="D138" i="23"/>
  <c r="E138" i="23" s="1"/>
  <c r="G138" i="23" s="1"/>
  <c r="D137" i="23"/>
  <c r="E137" i="23" s="1"/>
  <c r="G137" i="23" s="1"/>
  <c r="D115" i="23"/>
  <c r="E115" i="23" s="1"/>
  <c r="G115" i="23" s="1"/>
  <c r="D114" i="23"/>
  <c r="E114" i="23" s="1"/>
  <c r="G114" i="23" s="1"/>
  <c r="D113" i="23"/>
  <c r="E113" i="23" s="1"/>
  <c r="G113" i="23" s="1"/>
  <c r="D111" i="23"/>
  <c r="E111" i="23" s="1"/>
  <c r="G111" i="23" s="1"/>
  <c r="D110" i="23"/>
  <c r="E110" i="23" s="1"/>
  <c r="G110" i="23" s="1"/>
  <c r="D109" i="23"/>
  <c r="E109" i="23" s="1"/>
  <c r="G109" i="23" s="1"/>
  <c r="D108" i="23"/>
  <c r="E108" i="23" s="1"/>
  <c r="G108" i="23" s="1"/>
  <c r="D107" i="23"/>
  <c r="E107" i="23" s="1"/>
  <c r="G107" i="23" s="1"/>
  <c r="D106" i="23"/>
  <c r="E106" i="23" s="1"/>
  <c r="G106" i="23" s="1"/>
  <c r="D105" i="23"/>
  <c r="E105" i="23" s="1"/>
  <c r="G105" i="23" s="1"/>
  <c r="D104" i="23"/>
  <c r="E104" i="23" s="1"/>
  <c r="G104" i="23" s="1"/>
  <c r="D103" i="23"/>
  <c r="E103" i="23" s="1"/>
  <c r="G103" i="23" s="1"/>
  <c r="D102" i="23"/>
  <c r="E102" i="23" s="1"/>
  <c r="G102" i="23" s="1"/>
  <c r="E52" i="23"/>
  <c r="G52" i="23" s="1"/>
  <c r="E24" i="23"/>
  <c r="G24" i="23" s="1"/>
  <c r="G22" i="23"/>
  <c r="M48" i="5"/>
  <c r="N48" i="5" s="1"/>
  <c r="M43" i="5"/>
  <c r="N43" i="5" s="1"/>
  <c r="M42" i="5"/>
  <c r="N42" i="5" s="1"/>
  <c r="L71" i="5"/>
  <c r="M71" i="5" s="1"/>
  <c r="K72" i="5"/>
  <c r="M32" i="5"/>
  <c r="N32" i="5" s="1"/>
  <c r="M31" i="5"/>
  <c r="N31" i="5" s="1"/>
  <c r="M78" i="5"/>
  <c r="N78" i="5" s="1"/>
  <c r="M76" i="5"/>
  <c r="N76" i="5" s="1"/>
  <c r="M70" i="5"/>
  <c r="N70" i="5" s="1"/>
  <c r="M69" i="5"/>
  <c r="N69" i="5" s="1"/>
  <c r="M68" i="5"/>
  <c r="N68" i="5" s="1"/>
  <c r="M67" i="5"/>
  <c r="N67" i="5" s="1"/>
  <c r="M66" i="5"/>
  <c r="N66" i="5" s="1"/>
  <c r="M60" i="5"/>
  <c r="N60" i="5" s="1"/>
  <c r="M59" i="5"/>
  <c r="N59" i="5" s="1"/>
  <c r="M58" i="5"/>
  <c r="N58" i="5" s="1"/>
  <c r="M57" i="5"/>
  <c r="N57" i="5" s="1"/>
  <c r="M51" i="5"/>
  <c r="N51" i="5" s="1"/>
  <c r="M47" i="5"/>
  <c r="N47" i="5" s="1"/>
  <c r="M46" i="5"/>
  <c r="N46" i="5" s="1"/>
  <c r="M45" i="5"/>
  <c r="N45" i="5" s="1"/>
  <c r="M35" i="5"/>
  <c r="N35" i="5" s="1"/>
  <c r="M22" i="5"/>
  <c r="N22" i="5" s="1"/>
  <c r="M21" i="5"/>
  <c r="N21" i="5" s="1"/>
  <c r="M19" i="5"/>
  <c r="N19" i="5" s="1"/>
  <c r="M17" i="5"/>
  <c r="N17" i="5" s="1"/>
  <c r="M16" i="5"/>
  <c r="N16" i="5" s="1"/>
  <c r="M15" i="5"/>
  <c r="N15" i="5" s="1"/>
  <c r="M14" i="5"/>
  <c r="N14" i="5" s="1"/>
  <c r="M13" i="5"/>
  <c r="N13" i="5" s="1"/>
  <c r="M12" i="5"/>
  <c r="N12" i="5" s="1"/>
  <c r="M18" i="5"/>
  <c r="N18" i="5" s="1"/>
  <c r="L77" i="5"/>
  <c r="L56" i="5"/>
  <c r="M56" i="5" s="1"/>
  <c r="L44" i="5"/>
  <c r="L33" i="5"/>
  <c r="L11" i="5"/>
  <c r="M77" i="5"/>
  <c r="M44" i="5"/>
  <c r="M33" i="5"/>
  <c r="M11" i="5"/>
  <c r="M21" i="27" l="1"/>
  <c r="M28" i="27" s="1"/>
  <c r="K52" i="27"/>
  <c r="L59" i="27" s="1"/>
  <c r="G29" i="23"/>
  <c r="G82" i="23"/>
  <c r="G56" i="23"/>
  <c r="N10" i="5"/>
  <c r="M25" i="5"/>
  <c r="L37" i="5"/>
  <c r="G116" i="23"/>
  <c r="L25" i="5"/>
  <c r="L52" i="5"/>
  <c r="N41" i="5"/>
  <c r="M52" i="5"/>
  <c r="N36" i="5"/>
  <c r="M37" i="5"/>
  <c r="L80" i="5"/>
  <c r="N79" i="5"/>
  <c r="M80" i="5"/>
  <c r="D153" i="23"/>
  <c r="D152" i="23"/>
  <c r="E152" i="23" s="1"/>
  <c r="G152" i="23" s="1"/>
  <c r="D151" i="23"/>
  <c r="E151" i="23" s="1"/>
  <c r="G151" i="23" s="1"/>
  <c r="D150" i="23"/>
  <c r="E150" i="23" s="1"/>
  <c r="G150" i="23" s="1"/>
  <c r="D149" i="23"/>
  <c r="E149" i="23" s="1"/>
  <c r="G149" i="23" s="1"/>
  <c r="E148" i="23"/>
  <c r="G148" i="23" s="1"/>
  <c r="L72" i="5"/>
  <c r="N71" i="5"/>
  <c r="M72" i="5"/>
  <c r="N11" i="5"/>
  <c r="N33" i="5"/>
  <c r="N44" i="5"/>
  <c r="N56" i="5"/>
  <c r="N77" i="5"/>
  <c r="L18" i="1"/>
  <c r="L13" i="1"/>
  <c r="L15" i="1"/>
  <c r="L12" i="1"/>
  <c r="L14" i="1"/>
  <c r="L11" i="1"/>
  <c r="G73" i="1"/>
  <c r="G75" i="1" s="1"/>
  <c r="L72" i="1"/>
  <c r="L70" i="1"/>
  <c r="L69" i="1"/>
  <c r="L66" i="1"/>
  <c r="L60" i="1"/>
  <c r="L59" i="1"/>
  <c r="L58" i="1"/>
  <c r="L57" i="1"/>
  <c r="L56" i="1"/>
  <c r="L55" i="1"/>
  <c r="L54" i="1"/>
  <c r="L53" i="1"/>
  <c r="L52" i="1"/>
  <c r="L51" i="1"/>
  <c r="L47" i="1"/>
  <c r="L42" i="1"/>
  <c r="L41" i="1"/>
  <c r="L40" i="1"/>
  <c r="L39" i="1"/>
  <c r="L38" i="1"/>
  <c r="L37" i="1"/>
  <c r="L32" i="1"/>
  <c r="L34" i="1" s="1"/>
  <c r="L22" i="1"/>
  <c r="L21" i="1"/>
  <c r="L20" i="1"/>
  <c r="L19" i="1"/>
  <c r="L17" i="1"/>
  <c r="L16" i="1"/>
  <c r="L10" i="1"/>
  <c r="N37" i="5" l="1"/>
  <c r="N25" i="5"/>
  <c r="L73" i="1"/>
  <c r="N52" i="5"/>
  <c r="L23" i="1"/>
  <c r="L48" i="1"/>
  <c r="N80" i="5"/>
  <c r="N72" i="5"/>
  <c r="L67" i="1"/>
  <c r="D159" i="23"/>
  <c r="E159" i="23" s="1"/>
  <c r="G159" i="23" s="1"/>
  <c r="D158" i="23"/>
  <c r="E158" i="23" s="1"/>
  <c r="G158" i="23" s="1"/>
  <c r="D157" i="23"/>
  <c r="E157" i="23" s="1"/>
  <c r="G157" i="23" s="1"/>
  <c r="D156" i="23"/>
  <c r="E156" i="23" s="1"/>
  <c r="G156" i="23" s="1"/>
  <c r="D155" i="23"/>
  <c r="E155" i="23" s="1"/>
  <c r="G155" i="23" s="1"/>
  <c r="D154" i="23"/>
  <c r="E154" i="23" s="1"/>
  <c r="G154" i="23" s="1"/>
  <c r="E153" i="23"/>
  <c r="G153" i="23" s="1"/>
  <c r="N81" i="5" l="1"/>
  <c r="L75" i="1"/>
  <c r="G164" i="23"/>
  <c r="F174" i="23" s="1"/>
  <c r="F175" i="23" l="1"/>
  <c r="F173" i="23" s="1"/>
  <c r="C176" i="23" l="1"/>
</calcChain>
</file>

<file path=xl/sharedStrings.xml><?xml version="1.0" encoding="utf-8"?>
<sst xmlns="http://schemas.openxmlformats.org/spreadsheetml/2006/main" count="2403" uniqueCount="1415">
  <si>
    <t>№п.п.</t>
  </si>
  <si>
    <t>Должность</t>
  </si>
  <si>
    <t>Кол-во</t>
  </si>
  <si>
    <t>Коэффициент</t>
  </si>
  <si>
    <t>Ступень оплаты</t>
  </si>
  <si>
    <t>кол-во разрядов</t>
  </si>
  <si>
    <t>АУП</t>
  </si>
  <si>
    <t>гр.1*гр.3</t>
  </si>
  <si>
    <t>Главный инженер</t>
  </si>
  <si>
    <t>Главный бухгалтер</t>
  </si>
  <si>
    <t>Экономист</t>
  </si>
  <si>
    <t>Бухгалтер по реализации</t>
  </si>
  <si>
    <t>Юрисконсульт</t>
  </si>
  <si>
    <t>Инженер программист</t>
  </si>
  <si>
    <t>Инженер по подготовке производства</t>
  </si>
  <si>
    <t>Итого:</t>
  </si>
  <si>
    <t>Производственный персонал</t>
  </si>
  <si>
    <t>Механик автохозяйства</t>
  </si>
  <si>
    <t>Рабочие</t>
  </si>
  <si>
    <t>.3</t>
  </si>
  <si>
    <t>.7</t>
  </si>
  <si>
    <t>.8</t>
  </si>
  <si>
    <t>.9</t>
  </si>
  <si>
    <t>Оператор ЭВМ</t>
  </si>
  <si>
    <t>Автохозяйство</t>
  </si>
  <si>
    <t>Слесарь по ремонту автомобилей</t>
  </si>
  <si>
    <t>Водитель автобуса ПАЗ 320530</t>
  </si>
  <si>
    <t>Водитель "Субару-Форестер"</t>
  </si>
  <si>
    <t>Водитель ЗИЛ-130</t>
  </si>
  <si>
    <t>МОП</t>
  </si>
  <si>
    <t>1.</t>
  </si>
  <si>
    <t>Уборщик служебных помещений</t>
  </si>
  <si>
    <t>2.</t>
  </si>
  <si>
    <t>Кладовщик</t>
  </si>
  <si>
    <t>3.</t>
  </si>
  <si>
    <t>Сторож</t>
  </si>
  <si>
    <t>7.</t>
  </si>
  <si>
    <t>Фельдшер</t>
  </si>
  <si>
    <t>Всего по штатному расписанию</t>
  </si>
  <si>
    <t>Нормативное штатное расписание выполнено в соответствии Рекомендациями по нормированию труда работников энергетического хозяйства часть 3 Нормативы численности рабртников коммунальных электроэнергетических предприятий Утвержденных Приказом Госстроя России от 3.04.2000г. № 68</t>
  </si>
  <si>
    <t>Расчет средней ступени по оплате труда</t>
  </si>
  <si>
    <t xml:space="preserve">Тарифный коэффициент </t>
  </si>
  <si>
    <t>Директор</t>
  </si>
  <si>
    <t>Показатель</t>
  </si>
  <si>
    <t>Единица измерения</t>
  </si>
  <si>
    <t>км</t>
  </si>
  <si>
    <t xml:space="preserve">Воздушная ЛЭП 6-10 кВ </t>
  </si>
  <si>
    <t>на ж\б опорах</t>
  </si>
  <si>
    <t>на металлических опорах</t>
  </si>
  <si>
    <t>на деревнных опорах с ж\б приставками</t>
  </si>
  <si>
    <t xml:space="preserve">на деревнных опорах </t>
  </si>
  <si>
    <t xml:space="preserve">Воздушная ЛЭП до 1000 В </t>
  </si>
  <si>
    <t xml:space="preserve">Кабельные линии до 1 кВ </t>
  </si>
  <si>
    <t xml:space="preserve">Кабельные линии до 6-10 кВ </t>
  </si>
  <si>
    <t>Мачтовые трансформаторные подстанции</t>
  </si>
  <si>
    <t>ед.</t>
  </si>
  <si>
    <t>Закрытые трансформаторные подстанции с одним трансформатором</t>
  </si>
  <si>
    <t>Закрытые трансформаторные подстанции с двумя  трансформаторами</t>
  </si>
  <si>
    <t>Распределительные  пункты с постоянным дежурством персонала</t>
  </si>
  <si>
    <t>Количество комплектов АПВ и АВР</t>
  </si>
  <si>
    <t xml:space="preserve">Количество присоединений на напряжение до 20 кВ </t>
  </si>
  <si>
    <t>с маслянным выключателем</t>
  </si>
  <si>
    <t>с выключателем нагрузки</t>
  </si>
  <si>
    <t>Электросчетчики однофазные</t>
  </si>
  <si>
    <t>Электросчетчики трехфазные</t>
  </si>
  <si>
    <t>Кол-во масляных выключателей</t>
  </si>
  <si>
    <t>Кол-во выключателей нагрузки и разъединителей</t>
  </si>
  <si>
    <t>Механические мастерские</t>
  </si>
  <si>
    <t>Всего с учетом температурного коэффициента</t>
  </si>
  <si>
    <t>Всего с учетом  коэффициента невыходов</t>
  </si>
  <si>
    <t>Водители транспортного средства</t>
  </si>
  <si>
    <t>Водтели спецтранспорта</t>
  </si>
  <si>
    <t>Водители автобуса</t>
  </si>
  <si>
    <t>Водители дежурно-диспетчерской службы (по графику сменности)</t>
  </si>
  <si>
    <t>Рабочие текущего ремонта и обслуживания транспорта</t>
  </si>
  <si>
    <t>Уборщики служебных помещений</t>
  </si>
  <si>
    <t>Охрана круглосуточный режим работы</t>
  </si>
  <si>
    <t>чел.</t>
  </si>
  <si>
    <t>утверждены Приказом Госстроя России №68 от 03.04.2000г.</t>
  </si>
  <si>
    <t>до 200</t>
  </si>
  <si>
    <t>.4</t>
  </si>
  <si>
    <t>.5</t>
  </si>
  <si>
    <t>.6</t>
  </si>
  <si>
    <t>Разряд</t>
  </si>
  <si>
    <t>Коэфф-т</t>
  </si>
  <si>
    <r>
      <t>Оклад,</t>
    </r>
    <r>
      <rPr>
        <sz val="8"/>
        <rFont val="Arial Cyr"/>
        <charset val="204"/>
      </rPr>
      <t xml:space="preserve"> руб</t>
    </r>
  </si>
  <si>
    <t>кол-во</t>
  </si>
  <si>
    <t>разряд по ЕТС</t>
  </si>
  <si>
    <t>Оклад на 1 шт.ед в мес.</t>
  </si>
  <si>
    <t>На штатную численность</t>
  </si>
  <si>
    <t>Итого за год</t>
  </si>
  <si>
    <t>Оклад</t>
  </si>
  <si>
    <t>Премия</t>
  </si>
  <si>
    <t>РК</t>
  </si>
  <si>
    <t>СК</t>
  </si>
  <si>
    <t>Итого</t>
  </si>
  <si>
    <t>Инженер по эксплуатации  КИП</t>
  </si>
  <si>
    <t>Диспетчер</t>
  </si>
  <si>
    <t>Водитель УАЗ -22006 04</t>
  </si>
  <si>
    <t>Водитель УАЗ 31512 / УАЗ 315195</t>
  </si>
  <si>
    <t>Всего по штатному расписанию в год:</t>
  </si>
  <si>
    <t>Штатное расписание предприятия  МУП "Электросеть"</t>
  </si>
  <si>
    <t>Утверждаю</t>
  </si>
  <si>
    <t>Директор  МУП "Электросеть"</t>
  </si>
  <si>
    <t>_____________________Измайлова Л.М.</t>
  </si>
  <si>
    <t>Бухгалтер  по з/п, материалам</t>
  </si>
  <si>
    <t>Инспектор  по ОТ и ТБ</t>
  </si>
  <si>
    <t>Инженер по организации эксплуатации энергетического оборудования</t>
  </si>
  <si>
    <t>Инженер производственно технического  отдела</t>
  </si>
  <si>
    <t>Инженер по расчету и распределению эл/ энергии</t>
  </si>
  <si>
    <t>Техник производственно технического отдела</t>
  </si>
  <si>
    <t xml:space="preserve">Инспектор ОК </t>
  </si>
  <si>
    <t>Делопроизводитель</t>
  </si>
  <si>
    <t>Мастер оперативно выездной бригады</t>
  </si>
  <si>
    <t>Мастер производственно технического отдела</t>
  </si>
  <si>
    <t>Электромонтер  гр.раб 2  оперативно выездной бригады</t>
  </si>
  <si>
    <t>Электромонтер  гр.раб 3  оперативно выездной бригады</t>
  </si>
  <si>
    <t>Электромонтер  гр.раб 4 оперативно выездной бригады</t>
  </si>
  <si>
    <t>Электромонтер  гр.раб 3  по испытаниям и измерениям</t>
  </si>
  <si>
    <t>Электромонтер  гр.раб 4  по испытаниям  и измерениям</t>
  </si>
  <si>
    <t>Электромонтер  гр.раб 3  по эксплуатации распределительных сетей</t>
  </si>
  <si>
    <t>Электромонтер  гр.раб 4  по эксплуатации распределительных сетей</t>
  </si>
  <si>
    <t>Водитель УАЗ  390944</t>
  </si>
  <si>
    <t xml:space="preserve">Машинист </t>
  </si>
  <si>
    <t>Нормативное штатное расписание  МУП "Электросеть"</t>
  </si>
  <si>
    <t xml:space="preserve">Техник по эксплуатации </t>
  </si>
  <si>
    <t>Электромонтер  гр.раб 5  по эксплуатации распределительных сетей</t>
  </si>
  <si>
    <t>Анент по снабжению</t>
  </si>
  <si>
    <t>Газоэлектросварщик</t>
  </si>
  <si>
    <t>Инженер по испытаниям и измерениям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</si>
  <si>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</si>
  <si>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</si>
  <si>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</si>
  <si>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</si>
  <si>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</si>
  <si>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</si>
  <si>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</si>
  <si>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</si>
  <si>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</si>
  <si>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</si>
  <si>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</si>
  <si>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</si>
  <si>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</si>
  <si>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</si>
  <si>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</si>
  <si>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</si>
  <si>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</si>
  <si>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</si>
  <si>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</si>
  <si>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</si>
  <si>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</si>
  <si>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</si>
  <si>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</si>
  <si>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</si>
  <si>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</si>
  <si>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</si>
  <si>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</si>
  <si>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</si>
  <si>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</si>
  <si>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</si>
  <si>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</si>
  <si>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</si>
  <si>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</si>
  <si>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</si>
  <si>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</si>
  <si>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</si>
  <si>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</si>
  <si>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</si>
  <si>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</si>
  <si>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</si>
  <si>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</si>
  <si>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</si>
  <si>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</si>
  <si>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</si>
  <si>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</si>
  <si>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</si>
  <si>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</si>
  <si>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</si>
  <si>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</si>
  <si>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</si>
  <si>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</si>
  <si>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</si>
  <si>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</si>
  <si>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</si>
  <si>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</si>
  <si>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</si>
  <si>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</si>
  <si>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</si>
  <si>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</si>
  <si>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</si>
  <si>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</si>
  <si>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</si>
  <si>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</si>
  <si>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</si>
  <si>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</si>
  <si>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</si>
  <si>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</si>
  <si>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</si>
  <si>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</si>
  <si>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</si>
  <si>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</si>
  <si>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</si>
  <si>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</si>
  <si>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</si>
  <si>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</si>
  <si>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</si>
  <si>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</si>
  <si>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шт</t>
  </si>
  <si>
    <t>п.п.</t>
  </si>
  <si>
    <t>Показатели</t>
  </si>
  <si>
    <t>Всего</t>
  </si>
  <si>
    <t>СН I</t>
  </si>
  <si>
    <t>СН II</t>
  </si>
  <si>
    <t>от других поставщиков (в т.ч. с оптового рынка)</t>
  </si>
  <si>
    <t>из смежной сети, всего</t>
  </si>
  <si>
    <t>в том числе из сети</t>
  </si>
  <si>
    <t>1.1.</t>
  </si>
  <si>
    <t>1.2.</t>
  </si>
  <si>
    <t xml:space="preserve">Баланс электрической энергии по сетям ВН, СН I, СН II и НН                                                                                                                    </t>
  </si>
  <si>
    <t xml:space="preserve">Поступление эл.энергии в сеть , ВСЕГО </t>
  </si>
  <si>
    <t>от электростанций ПЭ (ЭСО)</t>
  </si>
  <si>
    <t>1.3.</t>
  </si>
  <si>
    <t>1.4.</t>
  </si>
  <si>
    <t xml:space="preserve">поступление эл. энергии от других организаций </t>
  </si>
  <si>
    <t xml:space="preserve">Потери электроэнергии в сети </t>
  </si>
  <si>
    <t>то же в % (п.1.1/п.1.3)</t>
  </si>
  <si>
    <t>Расход электроэнергии на производственные и                                                                                                                                              хозяйственные нужды</t>
  </si>
  <si>
    <t>4.</t>
  </si>
  <si>
    <t xml:space="preserve">Полезный отпуск из сети </t>
  </si>
  <si>
    <t>4.1.</t>
  </si>
  <si>
    <t>в т.ч  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</si>
  <si>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</si>
  <si>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</si>
  <si>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</si>
  <si>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</si>
  <si>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</si>
  <si>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</si>
  <si>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</si>
  <si>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t>МУП "Электросеть"</t>
  </si>
  <si>
    <t>Тарифная сетка  оплаты труда  МУП "Электросеть"</t>
  </si>
  <si>
    <t>все</t>
  </si>
  <si>
    <t>ВЛ КЛ ТП</t>
  </si>
  <si>
    <t>КЛ ТП</t>
  </si>
  <si>
    <t>КЛ ВЛ</t>
  </si>
  <si>
    <t>КЛ</t>
  </si>
  <si>
    <t>ВЛ</t>
  </si>
  <si>
    <t>КЛ ВЛ ТП</t>
  </si>
  <si>
    <t>Вид работ</t>
  </si>
  <si>
    <t>Машина оперативная</t>
  </si>
  <si>
    <t>Машина диагностическая</t>
  </si>
  <si>
    <t>Экскаватор одноковшовый</t>
  </si>
  <si>
    <t>Экскаватор траншейный</t>
  </si>
  <si>
    <t>Машина кабелеукладочная</t>
  </si>
  <si>
    <t>Опоровоз</t>
  </si>
  <si>
    <t>Автоподъемник</t>
  </si>
  <si>
    <t>Кран автомобильный</t>
  </si>
  <si>
    <t>Трактор гусеничный</t>
  </si>
  <si>
    <t>ВЛ КЛ</t>
  </si>
  <si>
    <t>Машина для кронирования деревьев</t>
  </si>
  <si>
    <t>Машина грузовая</t>
  </si>
  <si>
    <t>Машина самосвал</t>
  </si>
  <si>
    <t>Трактор колесный</t>
  </si>
  <si>
    <t>Прицеп тракторный</t>
  </si>
  <si>
    <t>Автопогрузчик</t>
  </si>
  <si>
    <t>Гидромолот к экскаватору</t>
  </si>
  <si>
    <t>Агрегат электросварочный</t>
  </si>
  <si>
    <t>Компрессорная станция</t>
  </si>
  <si>
    <t>Бензопила</t>
  </si>
  <si>
    <t>Насос погружной</t>
  </si>
  <si>
    <t>Домкрат винтовой д/кабельных барабанов</t>
  </si>
  <si>
    <t>ВЛ ТП</t>
  </si>
  <si>
    <t>Установка для отогрева мерзлого грунта</t>
  </si>
  <si>
    <t>УАЗ 390944</t>
  </si>
  <si>
    <t>АГП 22-04 ЗИЛ 433362</t>
  </si>
  <si>
    <t>ПАЗ 320530</t>
  </si>
  <si>
    <t>Субару Форестер</t>
  </si>
  <si>
    <t>Расчет необходимых машин и механизмов</t>
  </si>
  <si>
    <t>Наименование машин и механизмов</t>
  </si>
  <si>
    <t xml:space="preserve">Количество на 1000 у.е.  объема работ по электрическим сетям в общем кол-ве до 3,2 </t>
  </si>
  <si>
    <t>Количество машин и механизмов к нормативу в условных единицах.</t>
  </si>
  <si>
    <t>Количество необходимых машин и механизмов</t>
  </si>
  <si>
    <t>Машина аварийно ремонтная</t>
  </si>
  <si>
    <t>Мастерская фургон для кабельных работ</t>
  </si>
  <si>
    <t>Машина бурильно -крановая</t>
  </si>
  <si>
    <t>Машина для ремонта эл. сетей</t>
  </si>
  <si>
    <t>Машина для комплексного ремонта воздушных линий</t>
  </si>
  <si>
    <t>итого</t>
  </si>
  <si>
    <t>итого с учетом коэф 1,2</t>
  </si>
  <si>
    <t>Транспортер для кабельных барабан</t>
  </si>
  <si>
    <t>Домкрат винтовой для выправки опор</t>
  </si>
  <si>
    <t>Бетоносместитель</t>
  </si>
  <si>
    <t>Итого механизмы</t>
  </si>
  <si>
    <t>Итого механизмы с учетом коэф 1,2</t>
  </si>
  <si>
    <t xml:space="preserve">Всего </t>
  </si>
  <si>
    <t xml:space="preserve">   Расчет произведен согласно нормативу и методическим указаниям  по определению потребности в машинах и механизмах для эксплуатации и ремонта коммунальных электрических сетей . Утвержденны  приказом Госстроя от 05.09.2000 г. №200</t>
  </si>
  <si>
    <t>для обслуживания электрических сетей  МУП "Электросеть"</t>
  </si>
  <si>
    <t>п./п.</t>
  </si>
  <si>
    <t>Наименование показателя</t>
  </si>
  <si>
    <t>Услуги банка</t>
  </si>
  <si>
    <t>Командировочные расходы</t>
  </si>
  <si>
    <t>5.</t>
  </si>
  <si>
    <t>Услуги связи</t>
  </si>
  <si>
    <t>6.</t>
  </si>
  <si>
    <t>Расходы на услуги вневедомственной охраны</t>
  </si>
  <si>
    <t>Расходы на обеспечение нормальных условий труда и мер по технике безопасности</t>
  </si>
  <si>
    <t>8.</t>
  </si>
  <si>
    <t>другие прочие расходы связанные с производством и реализацией</t>
  </si>
  <si>
    <t>почтовые марки конверты</t>
  </si>
  <si>
    <t>тех литература</t>
  </si>
  <si>
    <t>вода</t>
  </si>
  <si>
    <t>9.</t>
  </si>
  <si>
    <t>10.</t>
  </si>
  <si>
    <t>11.</t>
  </si>
  <si>
    <t>№</t>
  </si>
  <si>
    <t>Ед. измер.</t>
  </si>
  <si>
    <t xml:space="preserve">Численность </t>
  </si>
  <si>
    <t xml:space="preserve">Численность ППП </t>
  </si>
  <si>
    <t>Средняя оплата труда</t>
  </si>
  <si>
    <t>2.1.</t>
  </si>
  <si>
    <t xml:space="preserve">Тарифная ставка рабочего 1 разряда </t>
  </si>
  <si>
    <t>руб.</t>
  </si>
  <si>
    <t>2.2.</t>
  </si>
  <si>
    <t>Дефлятор по заработной плате</t>
  </si>
  <si>
    <t>2.3.</t>
  </si>
  <si>
    <t xml:space="preserve">Среднемесячная тарифная ставка 1-го ППП </t>
  </si>
  <si>
    <t>2.4.</t>
  </si>
  <si>
    <t xml:space="preserve">Средняя ступень оплаты </t>
  </si>
  <si>
    <t>2.5.</t>
  </si>
  <si>
    <t>Тарифный коэффициент, соответствующий ступени по оплате труда</t>
  </si>
  <si>
    <t>2.6.</t>
  </si>
  <si>
    <t>Среднемесячная тарифная ставка ППП с учетом дефлятора</t>
  </si>
  <si>
    <t>2.7.</t>
  </si>
  <si>
    <t>Выплаты, связанные с режимом работы, с условиями труда 1 работника</t>
  </si>
  <si>
    <t>2.7.1.</t>
  </si>
  <si>
    <t>процент выплаты</t>
  </si>
  <si>
    <t>%</t>
  </si>
  <si>
    <t>2.7.2.</t>
  </si>
  <si>
    <t>сумма выплат</t>
  </si>
  <si>
    <t>2.8.</t>
  </si>
  <si>
    <t>Текущее премирование</t>
  </si>
  <si>
    <t>2.8.1.</t>
  </si>
  <si>
    <t>2.8.2.</t>
  </si>
  <si>
    <t>2.9.</t>
  </si>
  <si>
    <t>Прочие выплаты ()</t>
  </si>
  <si>
    <t>2.9.1.</t>
  </si>
  <si>
    <t>2.9.2.</t>
  </si>
  <si>
    <t>Прочие выплаты</t>
  </si>
  <si>
    <t>2.10.</t>
  </si>
  <si>
    <t>Вознаграждение за выслугу лет</t>
  </si>
  <si>
    <t>2.10.1.</t>
  </si>
  <si>
    <t>2.10.2.</t>
  </si>
  <si>
    <t>2.11.</t>
  </si>
  <si>
    <t>Выплаты по итогам года</t>
  </si>
  <si>
    <t>2.11.1.</t>
  </si>
  <si>
    <t>2.11.2.</t>
  </si>
  <si>
    <t>2.12.</t>
  </si>
  <si>
    <t>Выплаты по районному коэффициенту и северным надбавкам</t>
  </si>
  <si>
    <t>2.12.1.</t>
  </si>
  <si>
    <t>2.12.2.</t>
  </si>
  <si>
    <t>2.13.</t>
  </si>
  <si>
    <t>Итого среднемесячная оплата труда на 1 работника</t>
  </si>
  <si>
    <t xml:space="preserve">3. </t>
  </si>
  <si>
    <t>Расчет средств на оплату труда ППП (включенного в себестоимость)</t>
  </si>
  <si>
    <t>3.1.</t>
  </si>
  <si>
    <t>тыс.руб.</t>
  </si>
  <si>
    <t>3.2.</t>
  </si>
  <si>
    <t>3.3.</t>
  </si>
  <si>
    <t>Итого средств на оплату труда ППП</t>
  </si>
  <si>
    <t>Ср.месячная заработная плата с учетом проезда в отпуск</t>
  </si>
  <si>
    <t>Рост ср.мес.зарплаты к учтенной в тарифе</t>
  </si>
  <si>
    <t>Смета расходов, связанных с передачей электрической энергии по сетям</t>
  </si>
  <si>
    <t>Сырье, основные материалы</t>
  </si>
  <si>
    <t>из них на ремонт</t>
  </si>
  <si>
    <t xml:space="preserve"> ремонт  ФЗ 261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</si>
  <si>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</si>
  <si>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</si>
  <si>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</si>
  <si>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</si>
  <si>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</si>
  <si>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</si>
  <si>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</si>
  <si>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</si>
  <si>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</si>
  <si>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</si>
  <si>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</si>
  <si>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</si>
  <si>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</si>
  <si>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</si>
  <si>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</si>
  <si>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</si>
  <si>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</si>
  <si>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</si>
  <si>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</si>
  <si>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</si>
  <si>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</si>
  <si>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</si>
  <si>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</si>
  <si>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 xml:space="preserve">Другие затраты, относимые на себестоимость продукции,всего </t>
  </si>
  <si>
    <t xml:space="preserve"> 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</si>
  <si>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</si>
  <si>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</si>
  <si>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</si>
  <si>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</si>
  <si>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</si>
  <si>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</si>
  <si>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</si>
  <si>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</si>
  <si>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</si>
  <si>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</si>
  <si>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</si>
  <si>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</si>
  <si>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</si>
  <si>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</si>
  <si>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 без абонплаты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</si>
  <si>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</si>
  <si>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</si>
  <si>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</si>
  <si>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</si>
  <si>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</si>
  <si>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</si>
  <si>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</si>
  <si>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</si>
  <si>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</si>
  <si>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</si>
  <si>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прибыль</t>
  </si>
  <si>
    <t>Стоимость услуг</t>
  </si>
  <si>
    <t>НВВ</t>
  </si>
  <si>
    <t>№ п/п</t>
  </si>
  <si>
    <t>транспортировка</t>
  </si>
  <si>
    <t>ПОДКОНТРОЛЬНЫЕ РАСХОДЫ</t>
  </si>
  <si>
    <t>.1.1</t>
  </si>
  <si>
    <t>.1.2</t>
  </si>
  <si>
    <t>.1.3</t>
  </si>
  <si>
    <t>Ремонт основных фондов ФЗ 261  энергосбережение</t>
  </si>
  <si>
    <t>.1.4</t>
  </si>
  <si>
    <t>Расходы на оплату труда</t>
  </si>
  <si>
    <t>.1.5</t>
  </si>
  <si>
    <t>Прочие расходы, всего в том числе:</t>
  </si>
  <si>
    <t>.1.5.1</t>
  </si>
  <si>
    <t>Оплата работ и услуг сторонних организаций</t>
  </si>
  <si>
    <t>в т.ч. услуги связи</t>
  </si>
  <si>
    <t>.1.5.2</t>
  </si>
  <si>
    <t>Расходы на командировки и представительские</t>
  </si>
  <si>
    <t>.1.5.3.</t>
  </si>
  <si>
    <t>.1.5.4.</t>
  </si>
  <si>
    <t>.1.5.5</t>
  </si>
  <si>
    <t>Расходы на страхование авто</t>
  </si>
  <si>
    <t>.1.5.6</t>
  </si>
  <si>
    <t>Другие прочие расходы</t>
  </si>
  <si>
    <t>литература</t>
  </si>
  <si>
    <t>мусор</t>
  </si>
  <si>
    <t>почта марки конверты</t>
  </si>
  <si>
    <t>ИТОГО ПОДКОНТРОЛЬНЫЕ РАСХОДЫ</t>
  </si>
  <si>
    <t>Неподконтрольные расходы</t>
  </si>
  <si>
    <t>.2.2</t>
  </si>
  <si>
    <t>Энергия на хоз нужды</t>
  </si>
  <si>
    <t>.2.2.1</t>
  </si>
  <si>
    <t>в т.ч. электрическая</t>
  </si>
  <si>
    <t>.2.2.2</t>
  </si>
  <si>
    <t>.2.3</t>
  </si>
  <si>
    <t>плата за за аренду имущества</t>
  </si>
  <si>
    <t>.2.4</t>
  </si>
  <si>
    <t>налог на прибыль</t>
  </si>
  <si>
    <t>налоги</t>
  </si>
  <si>
    <t>.2.5.1</t>
  </si>
  <si>
    <t>транспортный, прочие</t>
  </si>
  <si>
    <t>.2.5.2</t>
  </si>
  <si>
    <t>.2.5.3</t>
  </si>
  <si>
    <t>на землю</t>
  </si>
  <si>
    <t>.2.6</t>
  </si>
  <si>
    <t>ЕСН</t>
  </si>
  <si>
    <t>.2.7</t>
  </si>
  <si>
    <t>амортизация основных средств</t>
  </si>
  <si>
    <t>.2.8</t>
  </si>
  <si>
    <t>Прочие неподконтрольные расходы - всего</t>
  </si>
  <si>
    <t>% за кредит</t>
  </si>
  <si>
    <t>услуги банка</t>
  </si>
  <si>
    <t>обслуживание бесхозяйственных сетей</t>
  </si>
  <si>
    <t>прочие расходы из прибыли - всего, в том числе</t>
  </si>
  <si>
    <t>ИТОГО НЕПОДКОНРОЛЬНЫЕ РАСХОДЫ</t>
  </si>
  <si>
    <t>.3.</t>
  </si>
  <si>
    <t>Выпадающие расходы</t>
  </si>
  <si>
    <t>Излишне учтенные расходы</t>
  </si>
  <si>
    <t xml:space="preserve"> Расчет источников финансирования капитальных вложений</t>
  </si>
  <si>
    <t xml:space="preserve">1.  </t>
  </si>
  <si>
    <t xml:space="preserve">Объем капитальных вложений - всего       </t>
  </si>
  <si>
    <t xml:space="preserve">в том числе:                           </t>
  </si>
  <si>
    <t xml:space="preserve"> на производственное и научно-техническое развитие</t>
  </si>
  <si>
    <t xml:space="preserve">- на непроизводственное развитие         </t>
  </si>
  <si>
    <t xml:space="preserve">2.  </t>
  </si>
  <si>
    <t xml:space="preserve">Финансирование капитальных вложений      </t>
  </si>
  <si>
    <t xml:space="preserve">из средств - всего                     </t>
  </si>
  <si>
    <t>Амортизационных   отчислений   на   полное</t>
  </si>
  <si>
    <t xml:space="preserve">восстановление основных фондов (100%)    </t>
  </si>
  <si>
    <t xml:space="preserve">использованных средств </t>
  </si>
  <si>
    <t xml:space="preserve">Федерального бюджета                     </t>
  </si>
  <si>
    <t xml:space="preserve">Местного бюджета                         </t>
  </si>
  <si>
    <t>Регионального (республиканского, краевого,</t>
  </si>
  <si>
    <t xml:space="preserve">областного) бюджета                      </t>
  </si>
  <si>
    <t xml:space="preserve">Прочих                                   </t>
  </si>
  <si>
    <t>Средства, полученные от реализации  ценных</t>
  </si>
  <si>
    <t xml:space="preserve">бумаг                                    </t>
  </si>
  <si>
    <t xml:space="preserve">Кредитные средства                       </t>
  </si>
  <si>
    <t xml:space="preserve">Итого по пп. 2.1 - 2.8                   </t>
  </si>
  <si>
    <t xml:space="preserve">Прибыль (п. 1 - п. 2.9):                 </t>
  </si>
  <si>
    <t>Расчет балансовой прибыли, принимаемой при установлении тарифов</t>
  </si>
  <si>
    <t xml:space="preserve"> Прибыль на развитие производства</t>
  </si>
  <si>
    <t>в том числе</t>
  </si>
  <si>
    <t xml:space="preserve"> Прибыль на социальное развитие</t>
  </si>
  <si>
    <t>доставка работников к месту работы</t>
  </si>
  <si>
    <t>оплата за лечение</t>
  </si>
  <si>
    <t>оплата путевок в санатории и лагеря</t>
  </si>
  <si>
    <t>резерв денежных средств на питание при ликвидации аварийных ситуаций</t>
  </si>
  <si>
    <t>оплата новогодних подарков</t>
  </si>
  <si>
    <t>проведение новогоднего утренника</t>
  </si>
  <si>
    <t>выплата пособия матерям по уходу за детьми</t>
  </si>
  <si>
    <t>Прибыль на поощрение</t>
  </si>
  <si>
    <t>пособие при выходе на пенсию</t>
  </si>
  <si>
    <t>премирование к праздничным датам</t>
  </si>
  <si>
    <t>проведение  профессиональных праздников и вечеров</t>
  </si>
  <si>
    <t xml:space="preserve">оказание мат.помощи </t>
  </si>
  <si>
    <t>ритуальные услуги</t>
  </si>
  <si>
    <t>Дивиденды по акциям</t>
  </si>
  <si>
    <t>Прибыль на прочие цели</t>
  </si>
  <si>
    <t xml:space="preserve"> % за пользование  кредитом</t>
  </si>
  <si>
    <t>командировочные сверх нормы</t>
  </si>
  <si>
    <t>резервный фонд</t>
  </si>
  <si>
    <t>проездные без документов</t>
  </si>
  <si>
    <t>другие(проездные без документов)</t>
  </si>
  <si>
    <t xml:space="preserve">6. </t>
  </si>
  <si>
    <t>Прибыль, облагаемая налогом</t>
  </si>
  <si>
    <t>Налоги,сборы и платежи, всего</t>
  </si>
  <si>
    <t xml:space="preserve"> -на прибыль</t>
  </si>
  <si>
    <t xml:space="preserve">Прибыль (убыток)от товарной продукции, в том числе: </t>
  </si>
  <si>
    <t>Единицы измерения</t>
  </si>
  <si>
    <t>Предприятие</t>
  </si>
  <si>
    <t>Расходы, отнесенные на передачу электрической энергии (п.11 табл.П.1.18.2.)</t>
  </si>
  <si>
    <t>тыс. руб.</t>
  </si>
  <si>
    <t>СН</t>
  </si>
  <si>
    <t>в т.ч. СН1</t>
  </si>
  <si>
    <t>вт.ч. СН2</t>
  </si>
  <si>
    <t>Прибыль, отнесенная на передачу электрической энергии (п.8 табл.П.1.21.3)</t>
  </si>
  <si>
    <t>Рентабельность (п.2 / п.1 * 100%)</t>
  </si>
  <si>
    <t>Необходимая валовая выручка, отнесенная на передачу электрической энергии (п.1 + п.2)</t>
  </si>
  <si>
    <t xml:space="preserve">Среднемесячная за период                                           суммарная заявленная (расчетная) мощность потребителей в максимум нагрузки ОЭС </t>
  </si>
  <si>
    <t>МВт.мес</t>
  </si>
  <si>
    <t>Суммарная по ВН, СН и НН (п.1.1.+ п.1.2.+п.1.3. табл.П1.5.)</t>
  </si>
  <si>
    <t>Суммарная по СН и НН (п.1.2.+п.1.3. табл.П1.5.)</t>
  </si>
  <si>
    <t>Суммарная по СН1, СН2  и НН (п.1.2.+п.1.3. табл.П1.5.)</t>
  </si>
  <si>
    <t>Суммарная по СН2  и НН (п.1.2.+п.1.3. табл.П1.5.)</t>
  </si>
  <si>
    <t>В сети НН (п.1.3. табл.П1.5.)</t>
  </si>
  <si>
    <t>Ставка на содержание электрических сетей  на 1 МВт  заявленной (расчетной) мощности</t>
  </si>
  <si>
    <t>руб/МВт.мес.</t>
  </si>
  <si>
    <t>Таблица № П. 1.25.</t>
  </si>
  <si>
    <t xml:space="preserve">Ставка за электроэнергию тарифа покупки </t>
  </si>
  <si>
    <t>руб/МВтч</t>
  </si>
  <si>
    <t xml:space="preserve">2. </t>
  </si>
  <si>
    <t>Отпуск электрической энергии в сеть с учетом величины сальдо-перетока электроэнергии</t>
  </si>
  <si>
    <t>млн.кВтч</t>
  </si>
  <si>
    <t xml:space="preserve"> в т.ч.СН1</t>
  </si>
  <si>
    <t>в т.ч. СН2</t>
  </si>
  <si>
    <t xml:space="preserve">Потери электрической энергии </t>
  </si>
  <si>
    <t>Полезный отпуск электрической энергии</t>
  </si>
  <si>
    <t>Расходы на компенсацию потерь</t>
  </si>
  <si>
    <t>Ставка на оплату технологического расхода (потерь ) электрической энергии на ее передачу по сетям</t>
  </si>
  <si>
    <t>наименование</t>
  </si>
  <si>
    <t>Основные материалы</t>
  </si>
  <si>
    <t>Вспомогательные материалы (для автотранспорта)</t>
  </si>
  <si>
    <t>Приборы учета</t>
  </si>
  <si>
    <t>Материалы и инструмент для обеспечения электробезопасности</t>
  </si>
  <si>
    <t>1.1. Расчет трудоемкости ремонта</t>
  </si>
  <si>
    <t>Кол-во натуральных единиц, м</t>
  </si>
  <si>
    <t>Периодичность кап. ремонта, лет</t>
  </si>
  <si>
    <t>Протяженность трассы в однолинейном исполнении, в ремонте, м ((гр.1/гр2)*кол-во линий ЛЭП)</t>
  </si>
  <si>
    <t>Сечение провода, кв.мм</t>
  </si>
  <si>
    <t>Трудоемкость одного кап. Ремонта, чел.-ч.</t>
  </si>
  <si>
    <t>Трудоемкость всего, чел.-ч. (гр.3/1000 * гр.5)</t>
  </si>
  <si>
    <t>до 35</t>
  </si>
  <si>
    <t>95 и более</t>
  </si>
  <si>
    <t>ИТОГО:</t>
  </si>
  <si>
    <t>Для ВЛ 6-35 кВ вводится поправочный коэффициент 1,3</t>
  </si>
  <si>
    <t>1.2. Расчет расхода материалов и запасных частей</t>
  </si>
  <si>
    <t>Материал</t>
  </si>
  <si>
    <t>Норма расхода на 100 чел.-ч. трудоемкости ремонта</t>
  </si>
  <si>
    <t>Трудоемкость всего, чел.-ч. (стр.ИТОГО табл 1.1.)</t>
  </si>
  <si>
    <t>Расход материалов (гр.2/100*гр 3)</t>
  </si>
  <si>
    <t>Цена, руб.</t>
  </si>
  <si>
    <t>Стоимость, руб. (гр.4*гр.5)</t>
  </si>
  <si>
    <t>Провод неизолированный, кг</t>
  </si>
  <si>
    <t>Изоляторы, штырьевые</t>
  </si>
  <si>
    <t>Изоляторы, подвесные</t>
  </si>
  <si>
    <t>Крюки для изоляторов, шт</t>
  </si>
  <si>
    <t>Сталь сортовая, кг</t>
  </si>
  <si>
    <t>Проволока стальная мягкая, кг</t>
  </si>
  <si>
    <t>Опора деревянная, шт</t>
  </si>
  <si>
    <t>до 50% всех опор трассы, выводимой в кап. ремонт</t>
  </si>
  <si>
    <t>Ж/б пасынок</t>
  </si>
  <si>
    <t>ИТОГО текущий ремонт:</t>
  </si>
  <si>
    <t>2. Воздушные линиии  напряжением до и выше 1000 В на металлических и железобетонных опорах на 1000 м однолинейного провода сечением, кв. мм</t>
  </si>
  <si>
    <t>2.1. Расчет трудоемкости ремонта</t>
  </si>
  <si>
    <t>Протяженность трассы в однолинейном исполнении, в ремонте, м ((гр.1/гр.2)*кол-во линий ЛЭП)</t>
  </si>
  <si>
    <t>2.2. Расчет расхода материалов и запасных частей</t>
  </si>
  <si>
    <t>Трудоемкость всего, чел.-ч. (стр.ИТОГО табл 2.1.)</t>
  </si>
  <si>
    <t>Опора, шт</t>
  </si>
  <si>
    <t>3. Кабельные линии напряжением до и выше 1000 В, проложенные в земле, на 1000 м провода сечением, кв. мм</t>
  </si>
  <si>
    <t>3.1. Расчет трудоемкости ремонта</t>
  </si>
  <si>
    <t>50-70</t>
  </si>
  <si>
    <t>95-120</t>
  </si>
  <si>
    <t>150-185</t>
  </si>
  <si>
    <t>3.2. Расчет расхода материалов и запасных частей</t>
  </si>
  <si>
    <t>Трудоемкость всего, чел.-ч. (стр.ИТОГО табл 3.1.)</t>
  </si>
  <si>
    <t>Кабель всех назначений, м</t>
  </si>
  <si>
    <t>Трубы газовые, кг</t>
  </si>
  <si>
    <t>Электроды, кг</t>
  </si>
  <si>
    <t>Кабельные воронки, шт</t>
  </si>
  <si>
    <t>Кабельные наконечники, шт</t>
  </si>
  <si>
    <t>Муфты соединительные, шт</t>
  </si>
  <si>
    <t>8 шт на 1000м</t>
  </si>
  <si>
    <t>ИТОГО текущий  ремонт</t>
  </si>
  <si>
    <t>4. Электрические аппараты</t>
  </si>
  <si>
    <t>4.1. Расчет трудоемкости ремонта</t>
  </si>
  <si>
    <t>Трудоемкость одного кап. ремонта, чел.-ч.</t>
  </si>
  <si>
    <t>Трудоемкость всего, чел.-ч. (гр.2/гр.3*гр.4)</t>
  </si>
  <si>
    <t>Выключатели масляные до 10 кВ</t>
  </si>
  <si>
    <t>Выключ. электромагнитные 10кВ</t>
  </si>
  <si>
    <t>Выключатели нагрузки, до 400А</t>
  </si>
  <si>
    <t>Переключатели типа РНО, РНТ</t>
  </si>
  <si>
    <t>4.2. Расчет расхода материалов и запасных частей</t>
  </si>
  <si>
    <t>Трудоемкость всего, чел.-ч. (стр.ИТОГО табл 4.1.)</t>
  </si>
  <si>
    <t>Сталь мелкосортовая,кг</t>
  </si>
  <si>
    <t>Крепежные изделия,кг</t>
  </si>
  <si>
    <t>Медный прокат,кг</t>
  </si>
  <si>
    <t>Латунный прокат,кг</t>
  </si>
  <si>
    <t>Картон электроизоляционный,кг</t>
  </si>
  <si>
    <t>Гетинакс,кг</t>
  </si>
  <si>
    <t>Текстолит,кг</t>
  </si>
  <si>
    <t>Лента изоляционная,кг</t>
  </si>
  <si>
    <t>Лаки электроизоляционные,кг</t>
  </si>
  <si>
    <t>Краски, эмали, лаки,кг</t>
  </si>
  <si>
    <t>Масло трансформаторное,кг</t>
  </si>
  <si>
    <t>Бензин авиационный,кг</t>
  </si>
  <si>
    <t>Изоляторы,шт</t>
  </si>
  <si>
    <t>Материал обтирочный,кг</t>
  </si>
  <si>
    <t>5. Силовые трансформаторы</t>
  </si>
  <si>
    <t>5.1. Расчет трудоемкости ремонта</t>
  </si>
  <si>
    <t>Мощность трансформатора, кВА</t>
  </si>
  <si>
    <t>5.2. Расчет расхода материалов и запасных частей</t>
  </si>
  <si>
    <t>Трудоемкость всего, чел.-ч. (стр.ИТОГО табл 5.1.)</t>
  </si>
  <si>
    <t>Сталь сортовая,кг</t>
  </si>
  <si>
    <t>Швеллеры,кг</t>
  </si>
  <si>
    <t>Электроды,кг</t>
  </si>
  <si>
    <t>Медь шинная,кг</t>
  </si>
  <si>
    <t>Лента медная,кг</t>
  </si>
  <si>
    <t>Оловянно - свинцовый припой,кг</t>
  </si>
  <si>
    <t>Провод установочный,м</t>
  </si>
  <si>
    <t>Провод медный,кг</t>
  </si>
  <si>
    <t>Бумага кабельная,кг</t>
  </si>
  <si>
    <t>Лакоткань,м</t>
  </si>
  <si>
    <t>Лента киперная,м</t>
  </si>
  <si>
    <t>Лента тафтяная,м</t>
  </si>
  <si>
    <t>Лента асбестовая,кг</t>
  </si>
  <si>
    <t>Эмали грунтовые,кг</t>
  </si>
  <si>
    <t>Растворители,кг</t>
  </si>
  <si>
    <t>Резина маслостойкая,кг</t>
  </si>
  <si>
    <t>Селикагель,кг</t>
  </si>
  <si>
    <t>Предохранители ПН-2 100А</t>
  </si>
  <si>
    <t>Предохранители ПК-50</t>
  </si>
  <si>
    <t>Рубильник РПС 250А</t>
  </si>
  <si>
    <t>ИТОГО текущий ремонт</t>
  </si>
  <si>
    <t>ИТОГО Расходы по  статье "Сырье и материалы"</t>
  </si>
  <si>
    <t>предприятие</t>
  </si>
  <si>
    <t xml:space="preserve">Материалы всего, в т. ч. </t>
  </si>
  <si>
    <t>текущий  ремонт</t>
  </si>
  <si>
    <t>пополнение страхового запаса</t>
  </si>
  <si>
    <t>35 % от расходов на текущий ремонт в соответствии с п. 7.5.4.  ЧАСТЬ 2 Типовая номенклатура ремонтных работ Справочник "Производственная эксплуатация , техническое обслуживание и ремонт энергетического оборудования".</t>
  </si>
  <si>
    <t xml:space="preserve">Итого </t>
  </si>
  <si>
    <t>исп.Сорокина Т.А.</t>
  </si>
  <si>
    <t>т.7-13-68</t>
  </si>
  <si>
    <t>УАЗЫ</t>
  </si>
  <si>
    <t xml:space="preserve">наименование </t>
  </si>
  <si>
    <t>количество</t>
  </si>
  <si>
    <t>Стартер</t>
  </si>
  <si>
    <t>Шт.</t>
  </si>
  <si>
    <t>Трамблер</t>
  </si>
  <si>
    <t>Карбюратор</t>
  </si>
  <si>
    <t>Бензонасос</t>
  </si>
  <si>
    <t>Рессоры УАЗ 31512</t>
  </si>
  <si>
    <t>Поршневая группа</t>
  </si>
  <si>
    <t>Свечи зажигания</t>
  </si>
  <si>
    <t>Коробка передач</t>
  </si>
  <si>
    <t>Лампочки одноконтактные и двухконтактные</t>
  </si>
  <si>
    <t>Наконечники рулевых тяг</t>
  </si>
  <si>
    <t>Ремкомплект тормозных колодок</t>
  </si>
  <si>
    <t>Корзина сцепления</t>
  </si>
  <si>
    <t>Сальники,монжеты,подшипники,шестерни,втулки рессорные.</t>
  </si>
  <si>
    <t>компл</t>
  </si>
  <si>
    <t>15.</t>
  </si>
  <si>
    <t>Карданный вал передний</t>
  </si>
  <si>
    <t>16.</t>
  </si>
  <si>
    <t>Карданный вал задний</t>
  </si>
  <si>
    <t>17.</t>
  </si>
  <si>
    <t>Крестовины карданного вала</t>
  </si>
  <si>
    <t>18.</t>
  </si>
  <si>
    <t>Подушки рессорные</t>
  </si>
  <si>
    <t>19.</t>
  </si>
  <si>
    <t>Шкворня (комплект)</t>
  </si>
  <si>
    <t>20.</t>
  </si>
  <si>
    <t>Комплект клапанов</t>
  </si>
  <si>
    <t>21.</t>
  </si>
  <si>
    <t>Помпа УАЗ</t>
  </si>
  <si>
    <t>22.</t>
  </si>
  <si>
    <t xml:space="preserve">Шины </t>
  </si>
  <si>
    <t>23.</t>
  </si>
  <si>
    <t>Рулевые пальцы</t>
  </si>
  <si>
    <t>24.</t>
  </si>
  <si>
    <t>Рулевая колонка</t>
  </si>
  <si>
    <t>25.</t>
  </si>
  <si>
    <t>Генератор</t>
  </si>
  <si>
    <t>26.</t>
  </si>
  <si>
    <t>Тормозные накладки</t>
  </si>
  <si>
    <t>27.</t>
  </si>
  <si>
    <t>Тормозные цилиндры задние</t>
  </si>
  <si>
    <t>28.</t>
  </si>
  <si>
    <t>Тормозные цилиндры передние</t>
  </si>
  <si>
    <t>29.</t>
  </si>
  <si>
    <t xml:space="preserve">Крышка коробки передач УАЗ </t>
  </si>
  <si>
    <t>31.</t>
  </si>
  <si>
    <t>Амортизаторы</t>
  </si>
  <si>
    <t>Спец машины</t>
  </si>
  <si>
    <t>ЗИЛ-130 -131</t>
  </si>
  <si>
    <t>Распределитель зажигания</t>
  </si>
  <si>
    <t>Пальцы рулевые</t>
  </si>
  <si>
    <t>Глушитель</t>
  </si>
  <si>
    <t>Палец рессорный</t>
  </si>
  <si>
    <t>Плунжерная группа</t>
  </si>
  <si>
    <t>Подвесной подшипник</t>
  </si>
  <si>
    <t>Помпа</t>
  </si>
  <si>
    <t>Шины Зил 130</t>
  </si>
  <si>
    <t>Шины Зил 131</t>
  </si>
  <si>
    <t>Турбина ТК-8</t>
  </si>
  <si>
    <t>Гидроусилитель</t>
  </si>
  <si>
    <t>ПАЗ</t>
  </si>
  <si>
    <t>Шины,</t>
  </si>
  <si>
    <t>Ремни</t>
  </si>
  <si>
    <t>цена</t>
  </si>
  <si>
    <t>стоимость</t>
  </si>
  <si>
    <t>пара</t>
  </si>
  <si>
    <t>Наименование показателей</t>
  </si>
  <si>
    <t>Сумма всего</t>
  </si>
  <si>
    <t>тепловая энергия</t>
  </si>
  <si>
    <t xml:space="preserve"> ООО "Янтарь"</t>
  </si>
  <si>
    <t>услуги водопотребление</t>
  </si>
  <si>
    <t>услуги водоотведение</t>
  </si>
  <si>
    <t>Тепловая энергия -всего</t>
  </si>
  <si>
    <t>Вода  и канализация</t>
  </si>
  <si>
    <t xml:space="preserve">Расчет потребности масел и спец. жидкостей </t>
  </si>
  <si>
    <t>Стоимость масел:</t>
  </si>
  <si>
    <t>М- моторное</t>
  </si>
  <si>
    <t>за литр</t>
  </si>
  <si>
    <t>С - специальное</t>
  </si>
  <si>
    <t xml:space="preserve">Т - трансмиссионное </t>
  </si>
  <si>
    <t xml:space="preserve">П - пластичные смазки </t>
  </si>
  <si>
    <t>за кг.</t>
  </si>
  <si>
    <t>Транспорт</t>
  </si>
  <si>
    <t>Масло</t>
  </si>
  <si>
    <t>Расход топлива в год, л.</t>
  </si>
  <si>
    <t>Норма на 100л.</t>
  </si>
  <si>
    <t>Сумма, тыс.руб</t>
  </si>
  <si>
    <t>Итого, сумма тыс. руб</t>
  </si>
  <si>
    <t>М</t>
  </si>
  <si>
    <t>Т</t>
  </si>
  <si>
    <t>С</t>
  </si>
  <si>
    <t>П</t>
  </si>
  <si>
    <t>УАЗ -31512 (449)</t>
  </si>
  <si>
    <t>УАЗ -315195</t>
  </si>
  <si>
    <t>ЗИЛ - 130 431410</t>
  </si>
  <si>
    <t>БКМ-317 на базе ГАЗ -3308</t>
  </si>
  <si>
    <t>СКБМ на базе ЗИЛ-131</t>
  </si>
  <si>
    <t>УАЗ - 220694</t>
  </si>
  <si>
    <t>ОХР</t>
  </si>
  <si>
    <t>ПАЗ - 320530</t>
  </si>
  <si>
    <t>Субару-Форестер</t>
  </si>
  <si>
    <t>Стоимость спец. жидкостей</t>
  </si>
  <si>
    <t>Т- тосол</t>
  </si>
  <si>
    <t>руб. за литр</t>
  </si>
  <si>
    <t>Т\Ж-тормозн.жидк</t>
  </si>
  <si>
    <t>Э\Л -электролит</t>
  </si>
  <si>
    <t>Транспортировка</t>
  </si>
  <si>
    <t>Спец. Жидкость</t>
  </si>
  <si>
    <t>Расход</t>
  </si>
  <si>
    <t>Цена за 1 литр*на расход,тыс.руб</t>
  </si>
  <si>
    <t>Стоимость тыс.руб</t>
  </si>
  <si>
    <t>Т\Ж</t>
  </si>
  <si>
    <t>Э\Л</t>
  </si>
  <si>
    <t>УАЗ - 31519</t>
  </si>
  <si>
    <t>Бензин АИ 80</t>
  </si>
  <si>
    <t>Бензин АИ 92</t>
  </si>
  <si>
    <t>марка авто</t>
  </si>
  <si>
    <t>топливо</t>
  </si>
  <si>
    <t>норма л/100км</t>
  </si>
  <si>
    <t>норма л/час</t>
  </si>
  <si>
    <t>расход</t>
  </si>
  <si>
    <t>т.руб.</t>
  </si>
  <si>
    <t>топлива в год</t>
  </si>
  <si>
    <t>стоимость всего</t>
  </si>
  <si>
    <t>АИ 80</t>
  </si>
  <si>
    <t>УАЗ 31512 (449)</t>
  </si>
  <si>
    <t>УАЗ 315195</t>
  </si>
  <si>
    <t>ЗИЛ 130 4314 10</t>
  </si>
  <si>
    <t>БКМ 317 на базе ГАЗ 3308</t>
  </si>
  <si>
    <t>СКБМ на базе ЗИЛ131</t>
  </si>
  <si>
    <t>АИ 92</t>
  </si>
  <si>
    <t>УАЗ  220694</t>
  </si>
  <si>
    <t>680/175</t>
  </si>
  <si>
    <t>Расчет расходов на энергию и коммунальные услуги МУП "Электросеть"</t>
  </si>
  <si>
    <t xml:space="preserve">итого </t>
  </si>
  <si>
    <t>Рессоры УАЗ 220694</t>
  </si>
  <si>
    <t xml:space="preserve">Аккумулятор </t>
  </si>
  <si>
    <t>Аккумулятор</t>
  </si>
  <si>
    <t xml:space="preserve">цена </t>
  </si>
  <si>
    <t xml:space="preserve">стоимость   </t>
  </si>
  <si>
    <t>Холодная вода на общедомовые нужды</t>
  </si>
  <si>
    <t xml:space="preserve">Объем потребления </t>
  </si>
  <si>
    <t>1. Воздушные линиии  напряжением до и выше 1000 В на деревянных, пропитанных антисептиком с жезобетонными пасынками опорах на 1000 м однолинейного провода сечением, кв. мм</t>
  </si>
  <si>
    <t>на передачу электрической энергии  по МУП "Электросеть"</t>
  </si>
  <si>
    <t>Диэлектрические перчатки</t>
  </si>
  <si>
    <t>Диэлектрические боты</t>
  </si>
  <si>
    <t>Защитные ограждения</t>
  </si>
  <si>
    <t>Плакаты и знаки эл безопасности</t>
  </si>
  <si>
    <t>Изолирующая штанга</t>
  </si>
  <si>
    <t>Изолирующие клещи на напряжение выше 1000 В</t>
  </si>
  <si>
    <t>Изолирующие клещи на напряжение до 1000 В</t>
  </si>
  <si>
    <t>изолирующий инструмент</t>
  </si>
  <si>
    <t xml:space="preserve">переносные заземления </t>
  </si>
  <si>
    <t>диэлектрические ковры и изолирующие накладки</t>
  </si>
  <si>
    <t>плакаты и знаки безопасности</t>
  </si>
  <si>
    <t>зажитные щитки или очки</t>
  </si>
  <si>
    <t>респираторы</t>
  </si>
  <si>
    <t>Оперативно выездные бригады</t>
  </si>
  <si>
    <t>Указатель напряжения  до и выше 1000В</t>
  </si>
  <si>
    <t>Сигнализаторы напряжения индивидуальные</t>
  </si>
  <si>
    <t>электроизмерительные клещи на напряжение до и выше 1000 В</t>
  </si>
  <si>
    <t>Указатель напряжения для проверки  совпадения фаз</t>
  </si>
  <si>
    <t>предохранительный пояс</t>
  </si>
  <si>
    <t>Бригада эксплуатационного обслуживания подстанций ВЛ, КЛ</t>
  </si>
  <si>
    <t>Изолирующая штанга (оперативные , универсальные, измерительные)</t>
  </si>
  <si>
    <t>Указатель напряжения  выше 1000 В</t>
  </si>
  <si>
    <t>Указатель напряжения  до 1000 В</t>
  </si>
  <si>
    <t>предохранительный пояс и страховочный канат</t>
  </si>
  <si>
    <t>защитный щиток для электрогазосварщика</t>
  </si>
  <si>
    <t>защитные каски</t>
  </si>
  <si>
    <t>когти монтерсние КМ 1</t>
  </si>
  <si>
    <t>лазы универсальные ЛУ-2</t>
  </si>
  <si>
    <t>Трансформаторные  подстанции</t>
  </si>
  <si>
    <t>Коврик диэлектрический</t>
  </si>
  <si>
    <t>спец одежда</t>
  </si>
  <si>
    <t xml:space="preserve">ауп </t>
  </si>
  <si>
    <t>комплект одежды</t>
  </si>
  <si>
    <t>комплект летний</t>
  </si>
  <si>
    <t>комплект зимний</t>
  </si>
  <si>
    <t>эл/ монтеры, водители, мастер</t>
  </si>
  <si>
    <t>сапоги зимние</t>
  </si>
  <si>
    <t>сапоги летние</t>
  </si>
  <si>
    <t>люди</t>
  </si>
  <si>
    <t>сварщик</t>
  </si>
  <si>
    <t xml:space="preserve">Ср.месячная заработная плата учтенная </t>
  </si>
  <si>
    <t>Директор МУП "Электросеть"                          Измайлова Л.М.</t>
  </si>
  <si>
    <t>Подготовка кадров(семенары ,курсы)</t>
  </si>
  <si>
    <t>Работы и услуги производственного  характера</t>
  </si>
  <si>
    <t>Вспомогательные материалы (авто запчасти,приборы учета, материала электробезопасности)</t>
  </si>
  <si>
    <t>.1</t>
  </si>
  <si>
    <t>.2</t>
  </si>
  <si>
    <t>Таблица № 1.20</t>
  </si>
  <si>
    <t>Необходимая валовая выручка на содержание электрических сетей МУП "Электросеть"</t>
  </si>
  <si>
    <t>материалы,автозап части, приборы учета э/э,материалы электробезопасности, топливо</t>
  </si>
  <si>
    <t>расходы на услуги  вневедомственной охраны</t>
  </si>
  <si>
    <t>Расходы на подготовку кадров(семенары,курсы)</t>
  </si>
  <si>
    <t>плата за предельно допустимые выбросы</t>
  </si>
  <si>
    <t>необходимая валовая выручка</t>
  </si>
  <si>
    <t>итого НВВ</t>
  </si>
  <si>
    <t>Расчет ставки  по содержанию электрических сетей  МУП "Электросеть"</t>
  </si>
  <si>
    <t>таб 1.21</t>
  </si>
  <si>
    <t>Директор МУП "Электросеть"                                                   Измайлова Л.М.</t>
  </si>
  <si>
    <t>п/п</t>
  </si>
  <si>
    <t>Выбытие основных производственных фондов</t>
  </si>
  <si>
    <t>Средняя норма амортизации</t>
  </si>
  <si>
    <t>Стоимость на</t>
  </si>
  <si>
    <t>Ввод основ-</t>
  </si>
  <si>
    <t xml:space="preserve">Выбытие </t>
  </si>
  <si>
    <t>Стоимость</t>
  </si>
  <si>
    <t xml:space="preserve">Средне- </t>
  </si>
  <si>
    <t>Аморти-</t>
  </si>
  <si>
    <t xml:space="preserve">начало   </t>
  </si>
  <si>
    <t>ных произ-</t>
  </si>
  <si>
    <t>основных</t>
  </si>
  <si>
    <t>на конец</t>
  </si>
  <si>
    <t xml:space="preserve">годовая </t>
  </si>
  <si>
    <t xml:space="preserve">зация </t>
  </si>
  <si>
    <t>регулируемого</t>
  </si>
  <si>
    <t>водственных</t>
  </si>
  <si>
    <t>производ-</t>
  </si>
  <si>
    <t xml:space="preserve">регули- </t>
  </si>
  <si>
    <t xml:space="preserve">периода  </t>
  </si>
  <si>
    <t xml:space="preserve">фондов    </t>
  </si>
  <si>
    <t>ственных</t>
  </si>
  <si>
    <t xml:space="preserve">руемого </t>
  </si>
  <si>
    <t xml:space="preserve">фондов  </t>
  </si>
  <si>
    <t xml:space="preserve">периода </t>
  </si>
  <si>
    <t>1. Линии электропередач</t>
  </si>
  <si>
    <t xml:space="preserve">ВЛЭП                  </t>
  </si>
  <si>
    <t>СН11</t>
  </si>
  <si>
    <t xml:space="preserve">КЛЭП                  </t>
  </si>
  <si>
    <t xml:space="preserve">2. Подстанции         </t>
  </si>
  <si>
    <t>3. Прочие (автотранспорт)</t>
  </si>
  <si>
    <t>Всего (стр. 1 + стр. 2)</t>
  </si>
  <si>
    <t>балансовая стоимость</t>
  </si>
  <si>
    <t xml:space="preserve">СН11 </t>
  </si>
  <si>
    <t xml:space="preserve">НН </t>
  </si>
  <si>
    <t>4. Производственные здания</t>
  </si>
  <si>
    <t>.1.6</t>
  </si>
  <si>
    <t>Оплата услуг  МЭС Востока</t>
  </si>
  <si>
    <t>основание</t>
  </si>
  <si>
    <t>расчет коммунальных услуг</t>
  </si>
  <si>
    <t>Работа с докуметацией по отправке писем, закупка почтовых марок,отправления бандеролей.</t>
  </si>
  <si>
    <t>Расходы на  информ услуги</t>
  </si>
  <si>
    <t>канц товары, обслуживание ЭВМ</t>
  </si>
  <si>
    <t>расходы  на информационные  услуги</t>
  </si>
  <si>
    <t>Директор МУП "Электросеть"                                           Измайлова Л.М.</t>
  </si>
  <si>
    <t>на 2015-2017 года</t>
  </si>
  <si>
    <t>2015 год</t>
  </si>
  <si>
    <t>канцтовары,обслуживание ЭВМ (картриджи на заправку)</t>
  </si>
  <si>
    <t>2016 год</t>
  </si>
  <si>
    <t>стоимость руб.</t>
  </si>
  <si>
    <t>тариф 2016 г</t>
  </si>
  <si>
    <t>Главный бухгалтер МУП "Электросеть"                              Гусятникова А.В.</t>
  </si>
  <si>
    <t>ц. 1 л. 2016 год</t>
  </si>
  <si>
    <t xml:space="preserve">Расшифровка капитальных вложений </t>
  </si>
  <si>
    <t>рублей</t>
  </si>
  <si>
    <t>оплата проезда к месту отдыха иждевенцы дети</t>
  </si>
  <si>
    <t>предприятие 2016 год</t>
  </si>
  <si>
    <t>"О государственных гарантиях и компенсациях для лиц  работающих и проживающих в районах крайнего севера и приравненных к ним местностях "</t>
  </si>
  <si>
    <t>Проезд в отпуск  1 раз в 2 года  согласно ФЗ №50 от 02.04.2014 года.</t>
  </si>
  <si>
    <t>2016  года</t>
  </si>
  <si>
    <t xml:space="preserve">Расчет расходов на оплату труда </t>
  </si>
  <si>
    <t>комп</t>
  </si>
  <si>
    <t>переносные заземления для ВЛ</t>
  </si>
  <si>
    <t>инструмент для ремонта кабельных линий</t>
  </si>
  <si>
    <t>комплект ВАФ</t>
  </si>
  <si>
    <t>тепловизор</t>
  </si>
  <si>
    <t>Офисная оргтехника</t>
  </si>
  <si>
    <t xml:space="preserve">Средства на  страхование автотехники </t>
  </si>
  <si>
    <t>2016 год.</t>
  </si>
  <si>
    <t>офисная оргтехника</t>
  </si>
  <si>
    <t>МУП "Электросеть" 2016 год</t>
  </si>
  <si>
    <t>Разработанно в соответствии  с рекомендациями о едином порядке оплаты труда по тарифным ставкам работников электроэнергетики  с учетом изменений и дополнений от 10 04.2008 г.</t>
  </si>
  <si>
    <t>уборщик  служебных помещений</t>
  </si>
  <si>
    <t>фельдшер</t>
  </si>
  <si>
    <t>халат медицинский, головной убор</t>
  </si>
  <si>
    <t>халат, головной убор,перчатки резиновые,обувь</t>
  </si>
  <si>
    <t>белье нательное</t>
  </si>
  <si>
    <t>костюм влаговетрозащитный</t>
  </si>
  <si>
    <t>рукавицы брезентовые, с наладонником,</t>
  </si>
  <si>
    <t>сапоги резиновые</t>
  </si>
  <si>
    <t>плащ влаговетрозащитный</t>
  </si>
  <si>
    <t>Экономист МУП "Электросеть"</t>
  </si>
  <si>
    <t>повышение квалифивации работников, сдача экзаменов инженерного состава в учебном комбинате, отчеты, ремонты сетей и т.д.расчет</t>
  </si>
  <si>
    <t>бухгалтерия</t>
  </si>
  <si>
    <t>кол- во компьютеров</t>
  </si>
  <si>
    <t>принтер</t>
  </si>
  <si>
    <t>сканер</t>
  </si>
  <si>
    <t>бесперебойное питание</t>
  </si>
  <si>
    <t>программист</t>
  </si>
  <si>
    <t>технический отдел</t>
  </si>
  <si>
    <t>директор, секретарь</t>
  </si>
  <si>
    <t>отдел главного инженера</t>
  </si>
  <si>
    <t>отдел распределения эл/энергии</t>
  </si>
  <si>
    <t>стоим.</t>
  </si>
  <si>
    <t>итого в тыс. руб.</t>
  </si>
  <si>
    <t>лопата совковая</t>
  </si>
  <si>
    <t>грабли садовые</t>
  </si>
  <si>
    <t>вилы</t>
  </si>
  <si>
    <t>лопата штыковая</t>
  </si>
  <si>
    <t xml:space="preserve"> метла</t>
  </si>
  <si>
    <t>черенок для метлы</t>
  </si>
  <si>
    <t>ведро оцинкованное 9л</t>
  </si>
  <si>
    <t>ведро оцинкованное 15л</t>
  </si>
  <si>
    <t>черенок для лопаты</t>
  </si>
  <si>
    <t>шт.</t>
  </si>
  <si>
    <t>лом железный</t>
  </si>
  <si>
    <t xml:space="preserve">мотыга </t>
  </si>
  <si>
    <t>на год работы с учетом отдаленных участков</t>
  </si>
  <si>
    <t>1</t>
  </si>
  <si>
    <t>проезд к месту отдыха</t>
  </si>
  <si>
    <t>Расчет по  договору №959/п ОАО "ФСК ЕЭС"</t>
  </si>
  <si>
    <t>Расчетный период</t>
  </si>
  <si>
    <t>Величина заявленной мощности МВ т</t>
  </si>
  <si>
    <t>Ставка руб. /МВт мес.</t>
  </si>
  <si>
    <t>Стоимость услуги по передаче 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</si>
  <si>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</si>
  <si>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</si>
  <si>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</si>
  <si>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</si>
  <si>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</si>
  <si>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</si>
  <si>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</si>
  <si>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</si>
  <si>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</si>
  <si>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</si>
  <si>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</si>
  <si>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</si>
  <si>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без НДС</t>
  </si>
  <si>
    <t>Плановая стоимость нормативных потерь при передаче э/энергии на 2015 год.</t>
  </si>
  <si>
    <t>Норматив потерь э/э в сетях ФСК %</t>
  </si>
  <si>
    <t>Объем потерь э/э в сетях ФСК %</t>
  </si>
  <si>
    <t>тариф  на оплату потерь руб/МВт*ч</t>
  </si>
  <si>
    <t>Стоимость потерь э/э в рублях</t>
  </si>
  <si>
    <t>Всего затрат  по ОАО "ФСК" за 2015 год</t>
  </si>
  <si>
    <t xml:space="preserve">Плановая стоимость услуг по передаче электрической энергии </t>
  </si>
  <si>
    <t>Плановая стоимость нормативных потерь при передаче э/энергии на 2016 год.</t>
  </si>
  <si>
    <t>Всего затрат  по ОАО "ФСК" за 2016 год</t>
  </si>
  <si>
    <t>Снегоуборщик</t>
  </si>
  <si>
    <t>передвижная электротехническая лаборатория ЭТЛ 35</t>
  </si>
  <si>
    <t>медкомиссия 1 раз в 2 года обязательная 2500*115чел</t>
  </si>
  <si>
    <t>Договоры на обязательное обучение персонала,а также  предложения  и прайс листы к семенарам и курсам представлен расчет</t>
  </si>
  <si>
    <t>в тыс. руб.</t>
  </si>
  <si>
    <t>Пожарная безопасность</t>
  </si>
  <si>
    <t>договор №56-082014 ПТМ</t>
  </si>
  <si>
    <t>Ежегодное повышение квалификации водителей</t>
  </si>
  <si>
    <t>Семинар  ЖКХ тарифное регулирование</t>
  </si>
  <si>
    <t>Семинар  гос закупки, практика ФЗ 223</t>
  </si>
  <si>
    <t>Итого в тыс руб.</t>
  </si>
  <si>
    <t>найм помещения</t>
  </si>
  <si>
    <t>Договор б/н от 01.04.2014</t>
  </si>
  <si>
    <t>Покупка  компьютеров, принтеров, сканеров -расчет представлен</t>
  </si>
  <si>
    <t>катриджи  на замену</t>
  </si>
  <si>
    <t>бумага</t>
  </si>
  <si>
    <t>канцтовары</t>
  </si>
  <si>
    <t xml:space="preserve">замена картриджей на орг технике, покупка офисной бумаги,канцтоваров расчет </t>
  </si>
  <si>
    <t xml:space="preserve">Долевое участие в содержании и ремонте общедомового имущества </t>
  </si>
  <si>
    <t xml:space="preserve"> тех литература для рабочих  представлен счет</t>
  </si>
  <si>
    <t>расчет</t>
  </si>
  <si>
    <t>Договор №21/4 от 01.04.2014 г.</t>
  </si>
  <si>
    <t xml:space="preserve">Расчет по прочим  расходам предприятия к таблице  1.15 </t>
  </si>
  <si>
    <t>Договор б/н от 29.07.2014</t>
  </si>
  <si>
    <t>расчет в комм услугах</t>
  </si>
  <si>
    <t>ИТОГО</t>
  </si>
  <si>
    <t>Расчет стоимости приобретения офисной оргтехники</t>
  </si>
  <si>
    <t>Экономист МУП "Электросеть"                             Вернигорова А.Г.</t>
  </si>
  <si>
    <t>Исудзу эльф</t>
  </si>
  <si>
    <t>Д/т</t>
  </si>
  <si>
    <t>Трактор "Беларус"</t>
  </si>
  <si>
    <t>Машина для ремонта электросетей ГАЗ 33086</t>
  </si>
  <si>
    <t>УАЗ   390945</t>
  </si>
  <si>
    <t>Прием в сеть э/э МВ т</t>
  </si>
  <si>
    <t>Водитель Исудзу Эльф</t>
  </si>
  <si>
    <t>Машинист Трактора " Беларус"</t>
  </si>
  <si>
    <t xml:space="preserve">Машинист Гусеничный грузовой снегоболотоход </t>
  </si>
  <si>
    <t>Водитель ЭТЛ 35</t>
  </si>
  <si>
    <t>С т контролер</t>
  </si>
  <si>
    <t>Контролер</t>
  </si>
  <si>
    <t>.10</t>
  </si>
  <si>
    <t>.11</t>
  </si>
  <si>
    <t>" ______  " _____________   20   год</t>
  </si>
  <si>
    <t>таб.1.16</t>
  </si>
  <si>
    <t>лопата снеговая</t>
  </si>
  <si>
    <t>Подготовка кадров(семинары ,курсы)</t>
  </si>
  <si>
    <t>2016 год план</t>
  </si>
  <si>
    <t>Договор №14 от 31.03.2014 года,Договор № 609326/804/2, разъяснения банка</t>
  </si>
  <si>
    <t>оплата услуг банка  по ставке  0,19% от суммы средств перечесляемых предприятием  работникам =5,0*12=60,00тыс.руб.. Обслуживание счета (550+350+1000)*12=22,8тыс.руб. тыс. руб Комиссия за снятие денег с исп. Корпорат.карты 1% *200,0тыс*12мес=24,0т.руб</t>
  </si>
  <si>
    <t>Ростелеком  12мес*10тыс. руб=120 т.р.,Билайн 12 мес*19 тыс=228т.р.Энфорта 4,1 т.р. * 12 мес=49,2т.р</t>
  </si>
  <si>
    <t xml:space="preserve"> Договор №46 КП /14 от 01.04.2014 г. . Договор №б/н от 31.03.2014 г.Договор № 197056510 от 19,12,2014</t>
  </si>
  <si>
    <t>Договор №2380050411 от 01.04.2014 г. Договор №515400723 от 014.04.2014 г.Договор №ван 00278 от 01.04.2014 г.</t>
  </si>
  <si>
    <t xml:space="preserve">17,4 тыс. руб *12 мес=208,8 тыс. руб, замена батарей  0,3*12=3,6 тыс.руб по договору на оказание услуг по охране объектов  №21/4 от 01.04.2014 г. </t>
  </si>
  <si>
    <t>Договор  С/682860/010102/241-У/2015 от 27,01,2015</t>
  </si>
  <si>
    <t>договор №63/м от 01,04,2014,договор №22 от 01.01.2015 г</t>
  </si>
  <si>
    <t>Договор б/н от 01.04.2014 (12*12=144т.руб)</t>
  </si>
  <si>
    <t>Довор №61/14 от 01.01.2014. ООО "Феникс"</t>
  </si>
  <si>
    <t>необходимо</t>
  </si>
  <si>
    <t>Приобрели в 2014 году</t>
  </si>
  <si>
    <t>Необходимо</t>
  </si>
  <si>
    <t>Консультант 20т.р. в мес*12мес=240, .,лицензии на программы 60т.р., ИП Вильф 4т.р.*4квартал  =16 т.р.,  Система главбух  44 т.р.</t>
  </si>
  <si>
    <t>2014-факт 9 месяцев</t>
  </si>
  <si>
    <t>согласно Сч-фактур от ИП Тесик и потребности предприятия</t>
  </si>
  <si>
    <t>Подготовка спец.БДД . Орг-я груз и пассажир. перевозок</t>
  </si>
  <si>
    <t>Договор от 08,12,2014 Смета по 22 час. Программе повыш.квалификац.</t>
  </si>
  <si>
    <t>Договор № С27-27 от 15,01,2015г. ООО "Глобал-Тендер"</t>
  </si>
  <si>
    <t xml:space="preserve">Новое в правовом регулировании оплаты труда </t>
  </si>
  <si>
    <t>Договор № К-348-3 от 21,01,2015</t>
  </si>
  <si>
    <t>Договор от 08,12,2014 Смета по 94 час. Подготовка спец. БДД</t>
  </si>
  <si>
    <t>медкомиссия при приеме на работу 2,8т.руб*10чел=28 т.руб.</t>
  </si>
  <si>
    <t>Повышение квалиф.спец-тов по сметному нормированию</t>
  </si>
  <si>
    <t>Прием ТБО 170м3*57=9,69 тыс.руб Вывоз мусора 1,544*12==18,5 тыс.руб</t>
  </si>
  <si>
    <t>( 4 температурная зона)</t>
  </si>
  <si>
    <t>1. Расчет нормативной численности руководителей, специалистов, и служащих.</t>
  </si>
  <si>
    <t>Наименование функций управления</t>
  </si>
  <si>
    <t>Фактор влияния</t>
  </si>
  <si>
    <t>Количественное значение фактора</t>
  </si>
  <si>
    <t>Нормативная численность, чел.</t>
  </si>
  <si>
    <t>№ раздела сборника</t>
  </si>
  <si>
    <t>Нормативная численность на единицу</t>
  </si>
  <si>
    <t>1. Общее руководство</t>
  </si>
  <si>
    <t>Среднесписочная численность работников предприятия</t>
  </si>
  <si>
    <t>до 100</t>
  </si>
  <si>
    <t>2.1.1.</t>
  </si>
  <si>
    <t>2. Бухгалтерский учет и финансовая деятельность</t>
  </si>
  <si>
    <t>3. Комплектование и учет кадров</t>
  </si>
  <si>
    <t>4. Материально-техническое снабжение и хозяйственное обслуживание</t>
  </si>
  <si>
    <t>6. Общее делопроизводство и хозяйственное обслуживание</t>
  </si>
  <si>
    <t>7. Производственно-техническая деятельность</t>
  </si>
  <si>
    <t>8. Организация охраны труда и техники безопасности</t>
  </si>
  <si>
    <t>9. Правовое обслуживание</t>
  </si>
  <si>
    <t>10.Технико-экономическое планирование, организация труда и заработной платы</t>
  </si>
  <si>
    <t>11. Организация сбыта, контроль за рациональным использоаванием  энергии</t>
  </si>
  <si>
    <t>Количество абонентов(потребителей)</t>
  </si>
  <si>
    <t>2.1.2.</t>
  </si>
  <si>
    <t>12. Програмное обеспечение и системное администрирование вычислительной техники</t>
  </si>
  <si>
    <t>Количество компьютеров</t>
  </si>
  <si>
    <t>2.1.3.</t>
  </si>
  <si>
    <t>13. Оперативно-диспетчерское обслуживание</t>
  </si>
  <si>
    <t>Количество условных единиц</t>
  </si>
  <si>
    <t>Усл.ед.</t>
  </si>
  <si>
    <t>2.1.4.+ примечание  п.2</t>
  </si>
  <si>
    <t>до 3200 у.е.   1 чел.</t>
  </si>
  <si>
    <t>14. Организация ремонтно-эксплуатационного обслуживания, средств релейной защиты, автоматики,измерений,телемеханики, электронно-информационных устройств,испытания защитных средств, эксплуатации средств связи</t>
  </si>
  <si>
    <t>Количество обслуживаемых электроподстанций, МТП, РП,ТП</t>
  </si>
  <si>
    <t>2.1.5.</t>
  </si>
  <si>
    <t>15. Организация ремонта силовых трансформаторов, электротехнического оборудования и масляное хозяйство</t>
  </si>
  <si>
    <t>Количество трансформаторов, находящихся в эксплуатации</t>
  </si>
  <si>
    <t>2.1.6.</t>
  </si>
  <si>
    <t>до 250</t>
  </si>
  <si>
    <t>16. Организация ремонтно-эксплуатационного обслуживания оборудования,электроэнергетических устройств и сооружений</t>
  </si>
  <si>
    <t>Район № 1</t>
  </si>
  <si>
    <t>2.1.7.</t>
  </si>
  <si>
    <t>Объем работы района</t>
  </si>
  <si>
    <t>Среднесписочная численностьрабочих района</t>
  </si>
  <si>
    <t xml:space="preserve">ИТОГО </t>
  </si>
  <si>
    <t>Всего с учетом  коэффициента невыходов =1,18</t>
  </si>
  <si>
    <t xml:space="preserve">2.Определение численности рабочих </t>
  </si>
  <si>
    <t>( Местность,приравненная к районам Крайнего Севера; поправочный коэффициент 1,18)</t>
  </si>
  <si>
    <t>Количественное значение</t>
  </si>
  <si>
    <t>2</t>
  </si>
  <si>
    <t>3</t>
  </si>
  <si>
    <t xml:space="preserve">Воздушная ЛЭП напряжением 35 кВ </t>
  </si>
  <si>
    <t>2.2.1.</t>
  </si>
  <si>
    <t>Коэффициент для участков линий, проходящих по трруднопроходимым трассам</t>
  </si>
  <si>
    <t>2.2.2.</t>
  </si>
  <si>
    <t>Концевые кабельные заделки воронки)</t>
  </si>
  <si>
    <t>2.2.3.</t>
  </si>
  <si>
    <t>2.2.4.</t>
  </si>
  <si>
    <t xml:space="preserve">Распределительные и фидерные пункты </t>
  </si>
  <si>
    <t>Примечание: В связи с принятием ЛЭП 35 кВ Высокогорный-Кенада с подстанцией 35/10кВ "Кенада" организован распределительный пункт с постоянным дежерством персонала вахтовым методом (удаленность)</t>
  </si>
  <si>
    <t>2.2.5.</t>
  </si>
  <si>
    <t>2.2.6.</t>
  </si>
  <si>
    <t>Количество абонентов (потребителей) бытового сектора</t>
  </si>
  <si>
    <t>2.2.7.</t>
  </si>
  <si>
    <t>-одноэтажная застройка</t>
  </si>
  <si>
    <t>-многоэтажная застройка</t>
  </si>
  <si>
    <t>Количество прочих абонентов (потребителей)</t>
  </si>
  <si>
    <t>2.2.8.</t>
  </si>
  <si>
    <t>Количество счетчиков, находящихся в ремонте</t>
  </si>
  <si>
    <t>2.2.9.</t>
  </si>
  <si>
    <t>2.2.10.</t>
  </si>
  <si>
    <t>усл. ед.</t>
  </si>
  <si>
    <t>2.2.12.</t>
  </si>
  <si>
    <t>3.Определение численности работников, обслуживающих нормативное количество машин и механизмов</t>
  </si>
  <si>
    <t>4.Определение численности МОП</t>
  </si>
  <si>
    <t>ИТОГО общая численность рабочих , работников автохозяйства и МОП</t>
  </si>
  <si>
    <t xml:space="preserve">Расчет произведен  согласно Рекомендаций по нормированию труда работников энергетического хозяйства, часть 3 </t>
  </si>
  <si>
    <t>1,63-2,06</t>
  </si>
  <si>
    <t>А.Г.Вернигорова</t>
  </si>
  <si>
    <t>" ______  " _____________   20___год</t>
  </si>
  <si>
    <t>Условные единицы  1661,2</t>
  </si>
  <si>
    <t>С-но специальной оценке условий труда</t>
  </si>
  <si>
    <t>ночные. с/урочные .праздничные</t>
  </si>
  <si>
    <t>учебный оттпуск,разъездной,б/лист</t>
  </si>
  <si>
    <t>Вернигорова А.Г.</t>
  </si>
  <si>
    <t xml:space="preserve">Экономист                     </t>
  </si>
  <si>
    <t>шапка зимняя</t>
  </si>
  <si>
    <t>Спецодежда</t>
  </si>
  <si>
    <t xml:space="preserve">Охрана труда в т.ч. </t>
  </si>
  <si>
    <t>9мес.2014год(т.руб)</t>
  </si>
  <si>
    <t>2016 год(т.руб)</t>
  </si>
  <si>
    <t>ГСМ</t>
  </si>
  <si>
    <t>3400/543</t>
  </si>
  <si>
    <t>3200/582</t>
  </si>
  <si>
    <t>2016 г. план</t>
  </si>
  <si>
    <t>2016г.</t>
  </si>
  <si>
    <t>Стоимость топлива в ценах 2016 г.</t>
  </si>
  <si>
    <t>Расчет потребности топлива и ГСМ на 2016 год .</t>
  </si>
  <si>
    <t xml:space="preserve">Медкомиссия при приеме на работу </t>
  </si>
  <si>
    <t>авансовые отчеты</t>
  </si>
  <si>
    <t>10 чел*2,8т.руб=28,0т.руб</t>
  </si>
  <si>
    <t>договор аренды автомобиль и снегоход</t>
  </si>
  <si>
    <t xml:space="preserve"> найм техники </t>
  </si>
  <si>
    <t>9мес.2014г</t>
  </si>
  <si>
    <t>ВСЕГО</t>
  </si>
  <si>
    <t>Пункт назначения</t>
  </si>
  <si>
    <t>суточные</t>
  </si>
  <si>
    <t>Расчет суточных</t>
  </si>
  <si>
    <t>проезд</t>
  </si>
  <si>
    <t>650 руб.  день</t>
  </si>
  <si>
    <t>Повышение квалификации работников</t>
  </si>
  <si>
    <t xml:space="preserve"> 3 чел.*14дней=42 дня*650 р. = 27300 руб.</t>
  </si>
  <si>
    <t>2. пром. Безопасность</t>
  </si>
  <si>
    <t>5 чел. *7 дн. * 650= 22750 руб.</t>
  </si>
  <si>
    <t>3. охрана труда</t>
  </si>
  <si>
    <t>3 чел. * 7 дней*650 = 13650 руб.</t>
  </si>
  <si>
    <t>Проезд 2800*2*3чел=</t>
  </si>
  <si>
    <t>16800 руб.</t>
  </si>
  <si>
    <t>Проезд 2800*2*5 чел. = 28000 руб.</t>
  </si>
  <si>
    <t>2800*2*3 чел.=16800 руб.</t>
  </si>
  <si>
    <t>2 раза*2 чел. 6 дней*650 =3900</t>
  </si>
  <si>
    <t>6 раз  2чел 18 дней*2=36 дней *650 руб=23400 руб</t>
  </si>
  <si>
    <t>9000 руб.бензин*6 раз=54000 руб.</t>
  </si>
  <si>
    <t>п. Высокогорный</t>
  </si>
  <si>
    <t>П. Като</t>
  </si>
  <si>
    <t>Отчеты по работе</t>
  </si>
  <si>
    <t>Семинары, курсы.</t>
  </si>
  <si>
    <t>1. Обучение</t>
  </si>
  <si>
    <t>П. Датта</t>
  </si>
  <si>
    <t>автомобиль 6,0т,руб*12=78т.руб   снегоход 6 мес*2,2т.руб.=13,2 т.руб</t>
  </si>
  <si>
    <t>ПК "Гранд-смета" с ежеквартальными текущими индексами</t>
  </si>
  <si>
    <t>обновление ежеквартальных текущих индексов 3,5 тыс.руб*4 кв.=12 тыс.руб.</t>
  </si>
  <si>
    <t>Договор № ПС02053с от 20,11,20147.</t>
  </si>
  <si>
    <t>Договор № КпВц-01980 от 09,06,2014г</t>
  </si>
  <si>
    <t>Программа 1С:Бухгалтерия с ИТС  2 раза в год</t>
  </si>
  <si>
    <t>МУП "Электросеть" 2016  год.</t>
  </si>
  <si>
    <t>2016 год   план</t>
  </si>
  <si>
    <t>9000 руб.бензин*2 раз=18000 руб.</t>
  </si>
  <si>
    <t>п.Кенада</t>
  </si>
  <si>
    <t>Проезд к месту работы и обратно</t>
  </si>
  <si>
    <t>4 вахты в мес.*1000руб*12 мес=48000руб.</t>
  </si>
  <si>
    <t>1300*12*6чел.=93600руб.</t>
  </si>
  <si>
    <t>Выполнение ремонтных работ, доставка материалов, необх. Для ремонт.работ</t>
  </si>
  <si>
    <t>350 руб.</t>
  </si>
  <si>
    <t>1 раз*2 чел.*12 мес*3 дня=25200 руб.</t>
  </si>
  <si>
    <t>Проезд 1300*12*2=31200    Провоз багажа 1200**12=14400 руб.</t>
  </si>
  <si>
    <t xml:space="preserve">Эконимист                         </t>
  </si>
  <si>
    <t>А.Г. Вернигорова</t>
  </si>
  <si>
    <t>г.Москва</t>
  </si>
  <si>
    <t>1 чел* 2 раза*8 дней*650 руб.=5200</t>
  </si>
  <si>
    <t>Спец.средства для уборки помещений</t>
  </si>
  <si>
    <t>Сумма</t>
  </si>
  <si>
    <t>СМС</t>
  </si>
  <si>
    <t xml:space="preserve">Тряпка для пола </t>
  </si>
  <si>
    <t xml:space="preserve">Перчатки </t>
  </si>
  <si>
    <t>Ведро пластиковое</t>
  </si>
  <si>
    <t>Цена</t>
  </si>
  <si>
    <t>Мешки мусорные</t>
  </si>
  <si>
    <t>Чистящее средство</t>
  </si>
  <si>
    <t>Мыло хозяйственное</t>
  </si>
  <si>
    <t>Вернигорова</t>
  </si>
  <si>
    <t>Мыло туалетное   (53*4*12)</t>
  </si>
  <si>
    <t>Средства для уборки помещений</t>
  </si>
  <si>
    <t>Плановый расчет командировочных расходов  МУП «Электросеть» на 2016  год</t>
  </si>
  <si>
    <t xml:space="preserve">Проезд Ванино-Хабаровск-Ванино 2400*2=4800руб. Проезд Хабаровск-Москва-Хабаровск =20000  Проживание 13000 руб. </t>
  </si>
  <si>
    <t>Договор №  СЖ-262-5 АНО "Институт  экономики, упрвления и социальных отношений"</t>
  </si>
  <si>
    <t>Предложение АНО "Институт  экономики, упрвления и социальных отношений"</t>
  </si>
  <si>
    <t>Семинар" Технологическое присоединение к эл.сетям"</t>
  </si>
  <si>
    <t xml:space="preserve">Экономист 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</si>
  <si>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</si>
  <si>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Типографские расходы</t>
  </si>
  <si>
    <t>факт</t>
  </si>
  <si>
    <t xml:space="preserve">Долевое участие на содержание и ремонт общего имущества </t>
  </si>
  <si>
    <t>Прием ТБО на полигон</t>
  </si>
  <si>
    <t>Вывоз БО и мусора</t>
  </si>
  <si>
    <t>2016год</t>
  </si>
  <si>
    <t>Примечание: к ценам применен индекс потребительских цен в 2015 году 115%</t>
  </si>
  <si>
    <t>Материалы, требуемые для содержания автотранспорта в 2016 году</t>
  </si>
  <si>
    <t>Расчет затрат на текущий ремонт сетей и оборудования по МУП "Электросеть"  на2016 гг.</t>
  </si>
  <si>
    <t>План 2016год</t>
  </si>
  <si>
    <t>Средства для обеспечения электробезопасности на 2016 г.</t>
  </si>
  <si>
    <t>, п. Дюанка.</t>
  </si>
  <si>
    <t>п.Кенада, п.Высокогорный, п.Дюанка, п.Като, п.Датта</t>
  </si>
  <si>
    <t>Договор от 18,04,2014 с КГАОУ ДПО "УКК ЖКХ Хаб.края"</t>
  </si>
  <si>
    <t>г.Хабаровск</t>
  </si>
  <si>
    <t>Совещания при Правительстве Хабаровского края по вопросам ЖКХ и договорам. Защита тарифа по транспорту э/э и по тех присоединению.</t>
  </si>
  <si>
    <t>Обоснование расходов   по проезду в отпуск работников  МУП «Электросеть»</t>
  </si>
  <si>
    <t xml:space="preserve">          Согласно статьи 325 ТК РФ  оплата стоимости проезда работника и членов его семьи  в организациях расположенных в районах приравненных к районам Крайнего севера,  имеют право на оплату один раз в два года за счет средств работодателя стоимости проезда и провоза багажа в пределах РФ к месту проведения отпуска и обратно.</t>
  </si>
  <si>
    <t xml:space="preserve">     Предварительный расчет проезда работников в отпуск и обратно:</t>
  </si>
  <si>
    <t>2016 г.</t>
  </si>
  <si>
    <t>работники</t>
  </si>
  <si>
    <t>Право на проезд</t>
  </si>
  <si>
    <t>Пункт проведения отпуска</t>
  </si>
  <si>
    <t>Стоимость проезда</t>
  </si>
  <si>
    <t>всего</t>
  </si>
  <si>
    <t>2 человек</t>
  </si>
  <si>
    <t>(  льгота)</t>
  </si>
  <si>
    <t>За второй год работы</t>
  </si>
  <si>
    <t>Ванино-Хабаровск- Симферополь- Ванино</t>
  </si>
  <si>
    <t>Ванино- Хабаровск-Ванино 7000 руб* 2 =14000  Хабаровск- Симферополь- Хабаровск 16370руб*2=32740руб.</t>
  </si>
  <si>
    <t xml:space="preserve"> Работники- 46740 руб</t>
  </si>
  <si>
    <t>9 человек</t>
  </si>
  <si>
    <t>Ванино- Хабаровск-Ванино</t>
  </si>
  <si>
    <t>Хабаровск – Симферополь-Хабаровск</t>
  </si>
  <si>
    <t>9*8000=24000 руб.</t>
  </si>
  <si>
    <t>9*38370=345330</t>
  </si>
  <si>
    <t>Работники-</t>
  </si>
  <si>
    <t>369330руб.</t>
  </si>
  <si>
    <t>10человек</t>
  </si>
  <si>
    <t>Ванино-Хабаровск-Владивосток на личном транспорте</t>
  </si>
  <si>
    <t>10*14500=145000руб.</t>
  </si>
  <si>
    <t>Работники 145000 руб</t>
  </si>
  <si>
    <t>430570руб.</t>
  </si>
  <si>
    <t xml:space="preserve">Согласно  п.1 ст. 7 закона №212-ФЗ,п. 1 ст. 20.1 ФЗ ОТ 24.07.1998№125 </t>
  </si>
  <si>
    <t>Экономист                                                    А.Г.Вернигорова</t>
  </si>
  <si>
    <t>Обоснование расходов   по проезду иждивенцев  к месту отдыха  МУП «Электросеть»</t>
  </si>
  <si>
    <t xml:space="preserve">     Предварительный расчет по проезду иждивенцев к месту проведения отпуска о обратно</t>
  </si>
  <si>
    <t>За 2014-2015 год работы</t>
  </si>
  <si>
    <t>2*4000=8000 руб.</t>
  </si>
  <si>
    <t>2*28370=56740</t>
  </si>
  <si>
    <t xml:space="preserve"> 64740руб</t>
  </si>
  <si>
    <t>Экономист МУП «Электросеть»                  Вернигорова А.Г.</t>
  </si>
  <si>
    <t xml:space="preserve">Расшифровка к Расчету командировочных расходов МУП «Электросеть» на </t>
  </si>
  <si>
    <r>
      <t>1.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14"/>
        <color theme="1"/>
        <rFont val="Calibri"/>
        <family val="2"/>
        <charset val="204"/>
        <scheme val="minor"/>
      </rPr>
      <t>Ежемесячные командировки в п.Высокогорный, Кенада, Усть-Орочи, Дюанка, Като ,Датта необходимы для снятия показаний приборов учета электроэнергии и определения ежемесячного полезного отпуска и потерь электроэнергии, предоставление отчетов. Доставка материалов, необходимых для ремонта эл.сетей в данных населенных пунктах возможна  только железной дорогой.(автомобильной дороги нет).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</si>
  <si>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14"/>
        <color theme="1"/>
        <rFont val="Calibri"/>
        <family val="2"/>
        <charset val="204"/>
        <scheme val="minor"/>
      </rPr>
      <t>Совещания при Правительстве Хабаровского края с партнерами по договорам по мере возникновения вопросов и необходимости присутствия на совещаниях, проводимых Министерством ЖКХ.</t>
    </r>
  </si>
  <si>
    <t>Вывоз мусора и пользование полигоном ТБО</t>
  </si>
  <si>
    <t>ИТС  5454*2= 8,4 тыс.руб Почасовые услуги 1900*12 час=22,8т.руб</t>
  </si>
  <si>
    <t>Расчет стоимости технического инвентаря для общехозяйственных работ</t>
  </si>
  <si>
    <t>Техинвентарь для общехоз.работ</t>
  </si>
  <si>
    <t>Стоимость инвентаря на социально-бытовые нужды ПС 35кВ в п.Кенада</t>
  </si>
  <si>
    <t xml:space="preserve">464,5/91=            </t>
  </si>
  <si>
    <t>Расчет ставки по оплате технологического расхода (потерь)электрической энергии на ее передачу по сетям МУП "Электросеть" 2016 год</t>
  </si>
  <si>
    <t>с учетом убытков в сумме 808,5 т,руб по результатам финансовой деятельности за 2014 год</t>
  </si>
  <si>
    <t>с учетом убытков в сумме 1913,4 т,руб по результатам финансовой деятельности за 2014 год</t>
  </si>
  <si>
    <t>с учетом убытков в сумме 2399,1 т,руб по результатам финансовой деятельности за 2014 год</t>
  </si>
  <si>
    <t>с учетом убытков в сумме 468,5 т,руб по результатам финансовой деятельности за 2014 год</t>
  </si>
  <si>
    <t>с учетом убытков в сумме 5,9 т,руб по результатам финансовой деятельности за 2014 год</t>
  </si>
  <si>
    <t>с учетом убытков в сумме 4,1 т,руб по результатам финансовой деятельности за 2014 год</t>
  </si>
  <si>
    <t>с учетом убытков в сумме 503,7 т,руб по результатам финансовой деятельности за 2014 год</t>
  </si>
  <si>
    <t>с учетом убытков в сумме 1316,4 т,руб по результатам финансовой деятельности за 2014 год</t>
  </si>
  <si>
    <t>машины и механизмы</t>
  </si>
  <si>
    <t>капитальные вложения (инвест программа)</t>
  </si>
  <si>
    <t>Итого (тыс.руб)</t>
  </si>
  <si>
    <t>спецпитание работникам с вахтовым методом с-но колдоговору и  ФЗ  от 03.12.12г № 227</t>
  </si>
  <si>
    <t>Расчет среднегодовой стоимости основных производственных фондов по линиям</t>
  </si>
  <si>
    <t>электропередач и подстанциям МУП "Электросеть"</t>
  </si>
  <si>
    <t>Расчет амортизационых отчислений на восстановление основных производственных фондов</t>
  </si>
  <si>
    <t>Ожидаемое 2016 год</t>
  </si>
  <si>
    <t>Балансовая стоимость основных производственных фондов на начало периода регулирования   руб.</t>
  </si>
  <si>
    <t>Средняя стоимость основных производственных фондов  руб.</t>
  </si>
  <si>
    <t>Сумма амортизационных отчислений  руб.</t>
  </si>
  <si>
    <t>Ввод основных производственных фондов руб.</t>
  </si>
  <si>
    <t>с учетом убытков в сумме 822,1 т,руб по результатам финансовой деятельности за 2014 год</t>
  </si>
  <si>
    <t xml:space="preserve">Экономист  </t>
  </si>
  <si>
    <t>Экономист                                                         А.Г.Вернигорова</t>
  </si>
  <si>
    <t>Целевые средства на НИОКР( расчет потерь, энергоаудит, расчетинвестиционной программы)</t>
  </si>
  <si>
    <t>Социально-бытовые нужды П/С Кенада 35 кВ</t>
  </si>
  <si>
    <t>Премирование к юбилеям</t>
  </si>
  <si>
    <t>Работы и услуги производственного характера</t>
  </si>
  <si>
    <t>разработка инвестиционной программы</t>
  </si>
  <si>
    <t>найм автотехники</t>
  </si>
  <si>
    <t>Долевое участие в содержании имущества</t>
  </si>
  <si>
    <t>Типографские услуги и подписка</t>
  </si>
  <si>
    <t>ПК "Гранд-смета" и 1С: бухгалтерия</t>
  </si>
  <si>
    <t>Медкомиссии при приеме на работу</t>
  </si>
  <si>
    <t>Ежегодные права на использование программ для ПК, лицензии,электронные ключи</t>
  </si>
  <si>
    <t>Расходы на экспертизу пром.безопасности автовышки =25,6/3=8,5т</t>
  </si>
  <si>
    <t>аренда квартиры</t>
  </si>
  <si>
    <t>Оцнка условий труда</t>
  </si>
  <si>
    <t>Усл.по обеззараживанию отходов</t>
  </si>
  <si>
    <t>Кадастровые работы</t>
  </si>
  <si>
    <t>ТМГ-250 кВа 10/0,4</t>
  </si>
  <si>
    <t>ТМГ-400 кВа 10/0,4</t>
  </si>
  <si>
    <t>ТМГ-630 кВа 10/0,4</t>
  </si>
  <si>
    <t>ТМГ-1000 кВа 10/0,4</t>
  </si>
  <si>
    <t>2шт.</t>
  </si>
  <si>
    <t>4шт.</t>
  </si>
  <si>
    <t>6шт.</t>
  </si>
  <si>
    <t xml:space="preserve"> Инвестиционная программа</t>
  </si>
  <si>
    <t>Трансформаторы ТМГ</t>
  </si>
  <si>
    <t>таб.1.15</t>
  </si>
  <si>
    <t>Таб. № 1.24</t>
  </si>
  <si>
    <r>
      <t>Согласно Постановлению от 04.05.2012 года №442 "О функционировании розничных рынков электроэнергии, полном и(или) частичном ограничении режима потребления электроэнергии" (п.п. 149,159,161,169,171,172)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В согласованные дату и время сетевая организация осуществляет снятие показаний прибора учета, осмотр состояния прибора учета и схемы его подключения. Показания прибора учета, состояние демонтируемого прибора учета и схемы его подключения на дату проведения указанных действий фиксируются сетевой организацией в акте проверки, который должен быть подписан сетевой организацией, собственником энергопринимающих устройств (объектов по производству электрической энергии (мощности)), а также гарантирующим поставщиком (энергосбытовой, энергоснабжающей организацией) в случае его участия. Сетевая организация обязана передать лицам, подписавшим акт проверки, по одному экземпляру такого акта.</t>
    </r>
  </si>
  <si>
    <t>ИТОГО нормативная численность работников МУП "Электросеть" на 2016 год составляет 91 человек.</t>
  </si>
  <si>
    <t>Расчет нормативной численности работников МУП "Электросеть" 2016 год.</t>
  </si>
  <si>
    <t>Начальник ЭТЛ</t>
  </si>
  <si>
    <t>Машинист  АГП 22-04 ЗИЛ-433362</t>
  </si>
  <si>
    <t>Машинист (СКБМ-1) на базе ЗИЛ-131</t>
  </si>
  <si>
    <t>Машинист БКМ 317</t>
  </si>
  <si>
    <t>Машинисть БКМ  МКМ 200</t>
  </si>
  <si>
    <t>Водитель-лаборант ЭТЛ 35</t>
  </si>
  <si>
    <t>ставка 1 разряда 7860 руб.*1,0785 индекс =8477 руб    на  2016 год</t>
  </si>
  <si>
    <t>Применен индекс потребительских цен 7,85% к ставке рабочего 1 разряда  7860 рублей, утвержденной с 01 января 2015 года</t>
  </si>
  <si>
    <t>Машинист БКМ  МКМ 200</t>
  </si>
  <si>
    <t>с учетом убытков в сумме 83,9 т,руб по результатам финансовой деятельности за 2014 год и ожидаемых убытков по оплате услуг  ОАО "ФСК ЕЭС" в 2015 году 3619,75 т.руб</t>
  </si>
  <si>
    <t xml:space="preserve">2016 год </t>
  </si>
  <si>
    <t>таб.1.4</t>
  </si>
  <si>
    <t>Охрана труда 2016 год</t>
  </si>
  <si>
    <t xml:space="preserve"> Стоимость Материалов  всего</t>
  </si>
  <si>
    <t>Стоимость инвентаря на социально-бытовые нужды</t>
  </si>
  <si>
    <t xml:space="preserve"> постанции 35 кВ. в п. Кенада</t>
  </si>
  <si>
    <t>№№</t>
  </si>
  <si>
    <t>Цена за единицу</t>
  </si>
  <si>
    <t>Стоимость всего</t>
  </si>
  <si>
    <t>Кровать односпальная</t>
  </si>
  <si>
    <t>Электроплита</t>
  </si>
  <si>
    <t>Водонагреватель</t>
  </si>
  <si>
    <t>Эл.чайник</t>
  </si>
  <si>
    <t>Одеяло</t>
  </si>
  <si>
    <t>Подушка</t>
  </si>
  <si>
    <t>Постельное белье</t>
  </si>
  <si>
    <t>Полотенце махрповое</t>
  </si>
  <si>
    <t>Полотенце вафельное</t>
  </si>
  <si>
    <t>Посуда:</t>
  </si>
  <si>
    <t>кастрюля</t>
  </si>
  <si>
    <t>сковорода</t>
  </si>
  <si>
    <t>тарелка</t>
  </si>
  <si>
    <t>ложка</t>
  </si>
  <si>
    <t>вилка</t>
  </si>
  <si>
    <t>кружка</t>
  </si>
  <si>
    <t>ведро</t>
  </si>
  <si>
    <t>таз</t>
  </si>
  <si>
    <t>Щетка для пола</t>
  </si>
  <si>
    <t>Швабра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</si>
</sst>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164" formatCode="0.000"/>
    <numFmt numFmtId="165" formatCode="0.0000"/>
    <numFmt numFmtId="166" formatCode="#,##0.0"/>
    <numFmt numFmtId="167" formatCode="#,##0.000"/>
    <numFmt numFmtId="168" formatCode="0.000%"/>
    <numFmt numFmtId="169" formatCode="0.0"/>
    <numFmt numFmtId="170" formatCode="0.00000"/>
  </numFmts>
  <fonts count="8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i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Courier New"/>
      <family val="3"/>
      <charset val="204"/>
    </font>
    <font>
      <sz val="8"/>
      <color indexed="10"/>
      <name val="Times New Roman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"/>
      <color indexed="10"/>
      <name val="Times New Roman Cyr"/>
      <family val="1"/>
      <charset val="204"/>
    </font>
    <font>
      <b/>
      <sz val="8"/>
      <name val="Times New Roman Cyr"/>
      <family val="1"/>
      <charset val="204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1"/>
      <color indexed="10"/>
      <name val="Times New Roman CYR"/>
      <charset val="204"/>
    </font>
    <font>
      <b/>
      <i/>
      <sz val="10"/>
      <name val="Arial Cyr"/>
      <charset val="204"/>
    </font>
    <font>
      <b/>
      <sz val="12"/>
      <name val="Arial Cyr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</font>
    <font>
      <i/>
      <sz val="9"/>
      <name val="Arial"/>
      <family val="2"/>
      <charset val="204"/>
    </font>
    <font>
      <sz val="9"/>
      <name val="Courier New"/>
      <family val="3"/>
      <charset val="204"/>
    </font>
    <font>
      <b/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Calibri"/>
      <family val="2"/>
      <charset val="204"/>
      <scheme val="minor"/>
    </font>
    <font>
      <b/>
      <sz val="8.5"/>
      <name val="Arial Cyr"/>
      <charset val="204"/>
    </font>
    <font>
      <sz val="8.5"/>
      <name val="Arial Cyr"/>
      <charset val="204"/>
    </font>
    <font>
      <sz val="8.5"/>
      <color theme="1"/>
      <name val="Arial"/>
      <family val="2"/>
      <charset val="204"/>
    </font>
    <font>
      <b/>
      <sz val="8.5"/>
      <color theme="1"/>
      <name val="Calibri"/>
      <family val="2"/>
      <scheme val="minor"/>
    </font>
    <font>
      <b/>
      <sz val="8.5"/>
      <color theme="1"/>
      <name val="Calibri"/>
      <family val="2"/>
      <charset val="204"/>
      <scheme val="minor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color theme="1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9" fontId="19" fillId="0" borderId="0" applyFont="0" applyFill="0" applyBorder="0" applyAlignment="0" applyProtection="0"/>
    <xf numFmtId="0" fontId="21" fillId="0" borderId="0" applyBorder="0">
      <alignment horizontal="center" vertical="center" wrapText="1"/>
    </xf>
    <xf numFmtId="0" fontId="23" fillId="0" borderId="28" applyBorder="0">
      <alignment horizontal="center" vertical="center" wrapText="1"/>
    </xf>
    <xf numFmtId="4" fontId="24" fillId="4" borderId="10" applyBorder="0">
      <alignment horizontal="right"/>
    </xf>
    <xf numFmtId="4" fontId="24" fillId="5" borderId="0" applyBorder="0">
      <alignment horizontal="right"/>
    </xf>
    <xf numFmtId="4" fontId="24" fillId="6" borderId="44" applyBorder="0">
      <alignment horizontal="right"/>
    </xf>
    <xf numFmtId="0" fontId="5" fillId="0" borderId="0"/>
    <xf numFmtId="0" fontId="26" fillId="0" borderId="0"/>
    <xf numFmtId="0" fontId="5" fillId="0" borderId="0"/>
  </cellStyleXfs>
  <cellXfs count="1265">
    <xf numFmtId="0" fontId="0" fillId="0" borderId="0" xfId="0"/>
    <xf numFmtId="0" fontId="1" fillId="2" borderId="0" xfId="0" applyFont="1" applyFill="1"/>
    <xf numFmtId="0" fontId="1" fillId="0" borderId="14" xfId="0" applyFont="1" applyBorder="1" applyAlignment="1">
      <alignment horizontal="right"/>
    </xf>
    <xf numFmtId="0" fontId="1" fillId="0" borderId="15" xfId="0" applyFont="1" applyBorder="1"/>
    <xf numFmtId="0" fontId="2" fillId="0" borderId="29" xfId="0" applyFont="1" applyBorder="1" applyAlignment="1">
      <alignment horizontal="center"/>
    </xf>
    <xf numFmtId="0" fontId="2" fillId="0" borderId="27" xfId="0" applyFont="1" applyBorder="1"/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5" xfId="0" applyFont="1" applyBorder="1"/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2" xfId="0" applyFont="1" applyBorder="1"/>
    <xf numFmtId="0" fontId="4" fillId="3" borderId="10" xfId="0" applyFont="1" applyFill="1" applyBorder="1" applyAlignment="1">
      <alignment horizontal="center"/>
    </xf>
    <xf numFmtId="0" fontId="1" fillId="0" borderId="14" xfId="0" applyFont="1" applyBorder="1"/>
    <xf numFmtId="0" fontId="4" fillId="0" borderId="2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5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Fill="1" applyBorder="1"/>
    <xf numFmtId="0" fontId="4" fillId="0" borderId="0" xfId="0" applyFont="1" applyBorder="1" applyAlignment="1"/>
    <xf numFmtId="0" fontId="2" fillId="0" borderId="0" xfId="0" applyFont="1"/>
    <xf numFmtId="0" fontId="2" fillId="0" borderId="0" xfId="0" applyFont="1" applyBorder="1" applyAlignment="1"/>
    <xf numFmtId="0" fontId="0" fillId="0" borderId="0" xfId="0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" fillId="0" borderId="10" xfId="0" applyFont="1" applyBorder="1"/>
    <xf numFmtId="0" fontId="2" fillId="0" borderId="43" xfId="0" applyFont="1" applyBorder="1"/>
    <xf numFmtId="0" fontId="10" fillId="0" borderId="11" xfId="0" applyFont="1" applyBorder="1"/>
    <xf numFmtId="0" fontId="10" fillId="0" borderId="10" xfId="0" applyFont="1" applyBorder="1"/>
    <xf numFmtId="0" fontId="0" fillId="0" borderId="10" xfId="0" applyBorder="1"/>
    <xf numFmtId="0" fontId="6" fillId="2" borderId="10" xfId="0" applyFont="1" applyFill="1" applyBorder="1"/>
    <xf numFmtId="0" fontId="9" fillId="2" borderId="58" xfId="0" applyFont="1" applyFill="1" applyBorder="1" applyAlignment="1">
      <alignment horizontal="center"/>
    </xf>
    <xf numFmtId="0" fontId="0" fillId="2" borderId="0" xfId="0" applyFill="1"/>
    <xf numFmtId="0" fontId="11" fillId="0" borderId="0" xfId="0" applyFont="1"/>
    <xf numFmtId="0" fontId="12" fillId="0" borderId="0" xfId="0" applyFont="1"/>
    <xf numFmtId="0" fontId="13" fillId="2" borderId="0" xfId="0" applyFont="1" applyFill="1" applyAlignment="1"/>
    <xf numFmtId="0" fontId="14" fillId="2" borderId="0" xfId="0" applyFont="1" applyFill="1"/>
    <xf numFmtId="0" fontId="18" fillId="0" borderId="0" xfId="0" applyFont="1"/>
    <xf numFmtId="0" fontId="4" fillId="0" borderId="10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2" borderId="64" xfId="0" applyFont="1" applyFill="1" applyBorder="1" applyAlignment="1"/>
    <xf numFmtId="0" fontId="4" fillId="2" borderId="18" xfId="0" applyFont="1" applyFill="1" applyBorder="1" applyAlignment="1"/>
    <xf numFmtId="0" fontId="4" fillId="2" borderId="22" xfId="0" applyFont="1" applyFill="1" applyBorder="1" applyAlignment="1"/>
    <xf numFmtId="16" fontId="10" fillId="0" borderId="14" xfId="0" applyNumberFormat="1" applyFont="1" applyBorder="1" applyAlignment="1">
      <alignment horizontal="right"/>
    </xf>
    <xf numFmtId="0" fontId="1" fillId="0" borderId="11" xfId="0" applyFont="1" applyBorder="1"/>
    <xf numFmtId="2" fontId="1" fillId="0" borderId="10" xfId="0" applyNumberFormat="1" applyFont="1" applyBorder="1"/>
    <xf numFmtId="1" fontId="1" fillId="0" borderId="10" xfId="0" applyNumberFormat="1" applyFont="1" applyBorder="1"/>
    <xf numFmtId="0" fontId="1" fillId="2" borderId="9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9" fillId="2" borderId="56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0" fontId="23" fillId="0" borderId="45" xfId="3" applyBorder="1">
      <alignment horizontal="center" vertical="center" wrapText="1"/>
    </xf>
    <xf numFmtId="0" fontId="23" fillId="0" borderId="46" xfId="3" applyBorder="1">
      <alignment horizontal="center" vertical="center" wrapText="1"/>
    </xf>
    <xf numFmtId="0" fontId="23" fillId="0" borderId="10" xfId="3" applyBorder="1">
      <alignment horizontal="center" vertical="center" wrapText="1"/>
    </xf>
    <xf numFmtId="0" fontId="23" fillId="0" borderId="15" xfId="3" applyBorder="1">
      <alignment horizontal="center" vertical="center" wrapText="1"/>
    </xf>
    <xf numFmtId="0" fontId="23" fillId="0" borderId="14" xfId="3" applyBorder="1">
      <alignment horizontal="center" vertical="center" wrapText="1"/>
    </xf>
    <xf numFmtId="0" fontId="23" fillId="0" borderId="10" xfId="3" applyBorder="1" applyAlignment="1">
      <alignment horizontal="center" vertical="center" wrapText="1"/>
    </xf>
    <xf numFmtId="0" fontId="23" fillId="0" borderId="10" xfId="3" applyFont="1" applyBorder="1">
      <alignment horizontal="center" vertical="center" wrapText="1"/>
    </xf>
    <xf numFmtId="0" fontId="23" fillId="0" borderId="15" xfId="3" applyFont="1" applyBorder="1">
      <alignment horizontal="center" vertical="center" wrapText="1"/>
    </xf>
    <xf numFmtId="49" fontId="0" fillId="0" borderId="10" xfId="0" applyNumberFormat="1" applyBorder="1" applyAlignment="1">
      <alignment vertical="top"/>
    </xf>
    <xf numFmtId="4" fontId="24" fillId="4" borderId="10" xfId="4" applyNumberFormat="1" applyBorder="1" applyProtection="1">
      <alignment horizontal="right"/>
    </xf>
    <xf numFmtId="4" fontId="24" fillId="5" borderId="15" xfId="5" applyBorder="1">
      <alignment horizontal="right"/>
    </xf>
    <xf numFmtId="17" fontId="0" fillId="0" borderId="10" xfId="0" quotePrefix="1" applyNumberFormat="1" applyBorder="1" applyAlignment="1">
      <alignment vertical="top"/>
    </xf>
    <xf numFmtId="49" fontId="0" fillId="0" borderId="14" xfId="0" applyNumberFormat="1" applyBorder="1" applyAlignment="1">
      <alignment vertical="top"/>
    </xf>
    <xf numFmtId="49" fontId="0" fillId="0" borderId="10" xfId="0" applyNumberFormat="1" applyBorder="1" applyAlignment="1">
      <alignment vertical="top" wrapText="1"/>
    </xf>
    <xf numFmtId="4" fontId="0" fillId="4" borderId="10" xfId="0" applyNumberFormat="1" applyFill="1" applyBorder="1" applyAlignment="1" applyProtection="1">
      <alignment vertical="top"/>
    </xf>
    <xf numFmtId="4" fontId="23" fillId="5" borderId="15" xfId="5" applyFont="1" applyBorder="1">
      <alignment horizontal="right"/>
    </xf>
    <xf numFmtId="49" fontId="0" fillId="0" borderId="47" xfId="0" applyNumberFormat="1" applyBorder="1" applyAlignment="1">
      <alignment vertical="top"/>
    </xf>
    <xf numFmtId="4" fontId="0" fillId="4" borderId="47" xfId="0" applyNumberFormat="1" applyFill="1" applyBorder="1" applyAlignment="1" applyProtection="1">
      <alignment vertical="top"/>
    </xf>
    <xf numFmtId="4" fontId="23" fillId="5" borderId="48" xfId="6" applyFont="1" applyFill="1" applyBorder="1">
      <alignment horizontal="right"/>
    </xf>
    <xf numFmtId="0" fontId="20" fillId="0" borderId="0" xfId="0" applyFont="1"/>
    <xf numFmtId="0" fontId="9" fillId="0" borderId="0" xfId="0" applyFont="1"/>
    <xf numFmtId="0" fontId="7" fillId="0" borderId="10" xfId="0" applyFont="1" applyBorder="1"/>
    <xf numFmtId="0" fontId="7" fillId="2" borderId="10" xfId="0" applyFont="1" applyFill="1" applyBorder="1"/>
    <xf numFmtId="0" fontId="14" fillId="0" borderId="0" xfId="0" applyFont="1" applyAlignment="1">
      <alignment horizontal="justify"/>
    </xf>
    <xf numFmtId="0" fontId="14" fillId="0" borderId="43" xfId="0" applyFont="1" applyBorder="1" applyAlignment="1">
      <alignment horizontal="justify" vertical="top" wrapText="1"/>
    </xf>
    <xf numFmtId="1" fontId="14" fillId="0" borderId="43" xfId="0" applyNumberFormat="1" applyFont="1" applyBorder="1" applyAlignment="1">
      <alignment horizontal="justify" vertical="top" wrapText="1"/>
    </xf>
    <xf numFmtId="2" fontId="14" fillId="0" borderId="43" xfId="0" applyNumberFormat="1" applyFont="1" applyBorder="1" applyAlignment="1">
      <alignment horizontal="justify" vertical="top" wrapText="1"/>
    </xf>
    <xf numFmtId="169" fontId="14" fillId="0" borderId="43" xfId="0" applyNumberFormat="1" applyFont="1" applyBorder="1" applyAlignment="1">
      <alignment horizontal="justify" vertical="top" wrapText="1"/>
    </xf>
    <xf numFmtId="0" fontId="13" fillId="8" borderId="8" xfId="0" applyFont="1" applyFill="1" applyBorder="1" applyAlignment="1">
      <alignment horizontal="justify" vertical="top" wrapText="1"/>
    </xf>
    <xf numFmtId="0" fontId="13" fillId="8" borderId="43" xfId="0" applyFont="1" applyFill="1" applyBorder="1" applyAlignment="1">
      <alignment horizontal="justify" vertical="top" wrapText="1"/>
    </xf>
    <xf numFmtId="0" fontId="14" fillId="8" borderId="43" xfId="0" applyFont="1" applyFill="1" applyBorder="1" applyAlignment="1">
      <alignment horizontal="justify" vertical="top" wrapText="1"/>
    </xf>
    <xf numFmtId="1" fontId="13" fillId="8" borderId="43" xfId="0" applyNumberFormat="1" applyFont="1" applyFill="1" applyBorder="1" applyAlignment="1">
      <alignment horizontal="justify" vertical="top" wrapText="1"/>
    </xf>
    <xf numFmtId="0" fontId="13" fillId="2" borderId="8" xfId="0" applyFont="1" applyFill="1" applyBorder="1" applyAlignment="1">
      <alignment horizontal="justify" vertical="top" wrapText="1"/>
    </xf>
    <xf numFmtId="0" fontId="13" fillId="2" borderId="43" xfId="0" applyFont="1" applyFill="1" applyBorder="1" applyAlignment="1">
      <alignment horizontal="justify" vertical="top" wrapText="1"/>
    </xf>
    <xf numFmtId="0" fontId="14" fillId="2" borderId="43" xfId="0" applyFont="1" applyFill="1" applyBorder="1" applyAlignment="1">
      <alignment horizontal="justify" vertical="top" wrapText="1"/>
    </xf>
    <xf numFmtId="0" fontId="14" fillId="2" borderId="8" xfId="0" applyFont="1" applyFill="1" applyBorder="1" applyAlignment="1">
      <alignment horizontal="justify" vertical="top" wrapText="1"/>
    </xf>
    <xf numFmtId="169" fontId="14" fillId="2" borderId="43" xfId="0" applyNumberFormat="1" applyFont="1" applyFill="1" applyBorder="1" applyAlignment="1">
      <alignment horizontal="justify" vertical="top" wrapText="1"/>
    </xf>
    <xf numFmtId="169" fontId="14" fillId="0" borderId="43" xfId="0" applyNumberFormat="1" applyFont="1" applyBorder="1" applyAlignment="1">
      <alignment horizontal="left" vertical="top" wrapText="1"/>
    </xf>
    <xf numFmtId="169" fontId="13" fillId="2" borderId="43" xfId="0" applyNumberFormat="1" applyFont="1" applyFill="1" applyBorder="1" applyAlignment="1">
      <alignment horizontal="justify" vertical="top" wrapText="1"/>
    </xf>
    <xf numFmtId="169" fontId="13" fillId="8" borderId="43" xfId="0" applyNumberFormat="1" applyFont="1" applyFill="1" applyBorder="1" applyAlignment="1">
      <alignment horizontal="justify" vertical="top" wrapText="1"/>
    </xf>
    <xf numFmtId="0" fontId="14" fillId="8" borderId="8" xfId="0" applyFont="1" applyFill="1" applyBorder="1" applyAlignment="1">
      <alignment horizontal="justify" vertical="top" wrapText="1"/>
    </xf>
    <xf numFmtId="0" fontId="14" fillId="0" borderId="0" xfId="0" applyFont="1" applyAlignment="1">
      <alignment horizontal="center" wrapText="1"/>
    </xf>
    <xf numFmtId="0" fontId="0" fillId="2" borderId="10" xfId="0" applyFill="1" applyBorder="1"/>
    <xf numFmtId="0" fontId="0" fillId="2" borderId="10" xfId="0" applyFill="1" applyBorder="1" applyAlignment="1">
      <alignment wrapText="1"/>
    </xf>
    <xf numFmtId="1" fontId="0" fillId="2" borderId="10" xfId="0" applyNumberFormat="1" applyFill="1" applyBorder="1"/>
    <xf numFmtId="1" fontId="20" fillId="2" borderId="10" xfId="0" applyNumberFormat="1" applyFont="1" applyFill="1" applyBorder="1"/>
    <xf numFmtId="0" fontId="0" fillId="0" borderId="11" xfId="0" applyBorder="1"/>
    <xf numFmtId="0" fontId="34" fillId="2" borderId="0" xfId="9" applyFont="1" applyFill="1"/>
    <xf numFmtId="0" fontId="14" fillId="2" borderId="10" xfId="9" applyFont="1" applyFill="1" applyBorder="1" applyAlignment="1">
      <alignment horizontal="center"/>
    </xf>
    <xf numFmtId="0" fontId="34" fillId="2" borderId="10" xfId="9" applyFont="1" applyFill="1" applyBorder="1" applyAlignment="1">
      <alignment wrapText="1"/>
    </xf>
    <xf numFmtId="0" fontId="13" fillId="2" borderId="10" xfId="9" applyFont="1" applyFill="1" applyBorder="1" applyAlignment="1">
      <alignment horizontal="center"/>
    </xf>
    <xf numFmtId="0" fontId="15" fillId="2" borderId="10" xfId="9" applyFont="1" applyFill="1" applyBorder="1" applyAlignment="1">
      <alignment wrapText="1"/>
    </xf>
    <xf numFmtId="16" fontId="14" fillId="2" borderId="10" xfId="9" applyNumberFormat="1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 wrapText="1"/>
    </xf>
    <xf numFmtId="0" fontId="34" fillId="2" borderId="23" xfId="9" applyFont="1" applyFill="1" applyBorder="1" applyAlignment="1">
      <alignment wrapText="1"/>
    </xf>
    <xf numFmtId="0" fontId="34" fillId="2" borderId="0" xfId="9" applyFont="1" applyFill="1" applyBorder="1" applyAlignment="1">
      <alignment wrapText="1"/>
    </xf>
    <xf numFmtId="0" fontId="28" fillId="2" borderId="0" xfId="0" applyFont="1" applyFill="1"/>
    <xf numFmtId="16" fontId="0" fillId="2" borderId="10" xfId="0" applyNumberFormat="1" applyFill="1" applyBorder="1" applyAlignment="1">
      <alignment horizontal="right"/>
    </xf>
    <xf numFmtId="0" fontId="7" fillId="2" borderId="10" xfId="0" applyFont="1" applyFill="1" applyBorder="1" applyAlignment="1">
      <alignment wrapText="1"/>
    </xf>
    <xf numFmtId="16" fontId="0" fillId="2" borderId="10" xfId="0" applyNumberFormat="1" applyFill="1" applyBorder="1"/>
    <xf numFmtId="14" fontId="0" fillId="2" borderId="10" xfId="0" applyNumberFormat="1" applyFill="1" applyBorder="1"/>
    <xf numFmtId="0" fontId="36" fillId="0" borderId="0" xfId="0" applyFont="1"/>
    <xf numFmtId="0" fontId="28" fillId="2" borderId="10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vertical="top" wrapText="1"/>
    </xf>
    <xf numFmtId="0" fontId="28" fillId="2" borderId="0" xfId="0" applyFont="1" applyFill="1" applyBorder="1" applyAlignment="1">
      <alignment vertical="top" wrapText="1"/>
    </xf>
    <xf numFmtId="0" fontId="28" fillId="2" borderId="10" xfId="0" applyFont="1" applyFill="1" applyBorder="1" applyAlignment="1">
      <alignment vertical="top" wrapText="1"/>
    </xf>
    <xf numFmtId="0" fontId="28" fillId="0" borderId="10" xfId="0" applyFont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0" fontId="14" fillId="2" borderId="0" xfId="0" applyFont="1" applyFill="1" applyAlignment="1">
      <alignment horizontal="center"/>
    </xf>
    <xf numFmtId="0" fontId="35" fillId="0" borderId="10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right"/>
    </xf>
    <xf numFmtId="0" fontId="15" fillId="0" borderId="10" xfId="0" applyFont="1" applyBorder="1" applyAlignment="1">
      <alignment horizontal="right" vertical="center" wrapText="1"/>
    </xf>
    <xf numFmtId="0" fontId="35" fillId="0" borderId="10" xfId="0" applyFont="1" applyBorder="1" applyAlignment="1">
      <alignment horizontal="right"/>
    </xf>
    <xf numFmtId="0" fontId="15" fillId="2" borderId="1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/>
    </xf>
    <xf numFmtId="0" fontId="35" fillId="0" borderId="10" xfId="0" applyFont="1" applyBorder="1" applyAlignment="1">
      <alignment horizontal="right" vertical="center" wrapText="1"/>
    </xf>
    <xf numFmtId="0" fontId="15" fillId="0" borderId="37" xfId="0" applyFont="1" applyBorder="1" applyAlignment="1">
      <alignment horizontal="right"/>
    </xf>
    <xf numFmtId="1" fontId="35" fillId="2" borderId="10" xfId="0" applyNumberFormat="1" applyFont="1" applyFill="1" applyBorder="1" applyAlignment="1">
      <alignment horizontal="right"/>
    </xf>
    <xf numFmtId="169" fontId="35" fillId="2" borderId="10" xfId="0" applyNumberFormat="1" applyFont="1" applyFill="1" applyBorder="1" applyAlignment="1">
      <alignment horizontal="right" wrapText="1"/>
    </xf>
    <xf numFmtId="169" fontId="33" fillId="2" borderId="1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/>
    </xf>
    <xf numFmtId="0" fontId="39" fillId="2" borderId="16" xfId="0" applyFont="1" applyFill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wrapText="1"/>
    </xf>
    <xf numFmtId="0" fontId="39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wrapText="1"/>
    </xf>
    <xf numFmtId="167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0" fontId="35" fillId="0" borderId="10" xfId="0" applyFont="1" applyBorder="1" applyAlignment="1">
      <alignment wrapText="1"/>
    </xf>
    <xf numFmtId="0" fontId="27" fillId="0" borderId="0" xfId="0" applyFont="1"/>
    <xf numFmtId="0" fontId="39" fillId="0" borderId="10" xfId="0" applyFont="1" applyBorder="1"/>
    <xf numFmtId="0" fontId="43" fillId="0" borderId="10" xfId="0" applyFont="1" applyBorder="1" applyAlignment="1">
      <alignment horizontal="center" vertical="center" wrapText="1"/>
    </xf>
    <xf numFmtId="164" fontId="39" fillId="2" borderId="10" xfId="0" applyNumberFormat="1" applyFont="1" applyFill="1" applyBorder="1"/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wrapText="1"/>
    </xf>
    <xf numFmtId="0" fontId="39" fillId="0" borderId="10" xfId="0" applyFont="1" applyFill="1" applyBorder="1" applyAlignment="1">
      <alignment horizontal="center"/>
    </xf>
    <xf numFmtId="0" fontId="39" fillId="0" borderId="10" xfId="0" applyFont="1" applyFill="1" applyBorder="1"/>
    <xf numFmtId="0" fontId="39" fillId="2" borderId="10" xfId="0" applyFont="1" applyFill="1" applyBorder="1"/>
    <xf numFmtId="2" fontId="38" fillId="0" borderId="10" xfId="0" applyNumberFormat="1" applyFont="1" applyBorder="1"/>
    <xf numFmtId="0" fontId="44" fillId="0" borderId="0" xfId="0" applyFont="1" applyFill="1" applyBorder="1" applyAlignment="1">
      <alignment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center" wrapText="1"/>
    </xf>
    <xf numFmtId="169" fontId="45" fillId="2" borderId="0" xfId="0" applyNumberFormat="1" applyFont="1" applyFill="1" applyAlignment="1">
      <alignment vertical="center"/>
    </xf>
    <xf numFmtId="169" fontId="0" fillId="2" borderId="0" xfId="0" applyNumberFormat="1" applyFill="1" applyAlignment="1">
      <alignment horizontal="center" vertical="center" wrapText="1"/>
    </xf>
    <xf numFmtId="169" fontId="2" fillId="2" borderId="0" xfId="0" applyNumberFormat="1" applyFont="1" applyFill="1" applyAlignment="1">
      <alignment horizontal="center" vertical="center" wrapText="1"/>
    </xf>
    <xf numFmtId="169" fontId="0" fillId="2" borderId="0" xfId="0" applyNumberFormat="1" applyFill="1" applyAlignment="1">
      <alignment vertical="center" wrapText="1"/>
    </xf>
    <xf numFmtId="169" fontId="9" fillId="2" borderId="10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Alignment="1">
      <alignment horizontal="center" vertical="center" wrapText="1"/>
    </xf>
    <xf numFmtId="169" fontId="9" fillId="3" borderId="10" xfId="0" applyNumberFormat="1" applyFont="1" applyFill="1" applyBorder="1" applyAlignment="1">
      <alignment horizontal="center" vertical="center" wrapText="1"/>
    </xf>
    <xf numFmtId="169" fontId="9" fillId="2" borderId="10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Alignment="1">
      <alignment vertical="center" wrapText="1"/>
    </xf>
    <xf numFmtId="169" fontId="9" fillId="3" borderId="23" xfId="0" applyNumberFormat="1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169" fontId="0" fillId="3" borderId="0" xfId="0" applyNumberFormat="1" applyFill="1" applyAlignment="1">
      <alignment horizontal="center" vertical="center" wrapText="1"/>
    </xf>
    <xf numFmtId="0" fontId="6" fillId="0" borderId="9" xfId="0" applyFont="1" applyBorder="1"/>
    <xf numFmtId="0" fontId="6" fillId="0" borderId="11" xfId="0" applyFont="1" applyBorder="1"/>
    <xf numFmtId="2" fontId="6" fillId="0" borderId="11" xfId="0" applyNumberFormat="1" applyFont="1" applyBorder="1" applyAlignment="1"/>
    <xf numFmtId="0" fontId="6" fillId="0" borderId="14" xfId="0" applyFont="1" applyBorder="1"/>
    <xf numFmtId="0" fontId="6" fillId="0" borderId="10" xfId="0" applyFont="1" applyBorder="1"/>
    <xf numFmtId="0" fontId="48" fillId="0" borderId="60" xfId="0" applyFont="1" applyBorder="1" applyAlignment="1"/>
    <xf numFmtId="0" fontId="48" fillId="0" borderId="21" xfId="0" applyFont="1" applyBorder="1" applyAlignment="1">
      <alignment wrapText="1"/>
    </xf>
    <xf numFmtId="0" fontId="48" fillId="0" borderId="21" xfId="0" applyFont="1" applyBorder="1" applyAlignment="1"/>
    <xf numFmtId="2" fontId="6" fillId="0" borderId="56" xfId="0" applyNumberFormat="1" applyFont="1" applyBorder="1" applyAlignment="1"/>
    <xf numFmtId="0" fontId="48" fillId="0" borderId="25" xfId="0" applyFont="1" applyBorder="1" applyAlignment="1"/>
    <xf numFmtId="0" fontId="48" fillId="0" borderId="26" xfId="0" applyFont="1" applyBorder="1" applyAlignment="1">
      <alignment wrapText="1"/>
    </xf>
    <xf numFmtId="0" fontId="48" fillId="0" borderId="26" xfId="0" applyFont="1" applyBorder="1" applyAlignment="1"/>
    <xf numFmtId="2" fontId="6" fillId="0" borderId="35" xfId="0" applyNumberFormat="1" applyFont="1" applyBorder="1" applyAlignment="1"/>
    <xf numFmtId="0" fontId="6" fillId="0" borderId="33" xfId="0" applyFont="1" applyBorder="1"/>
    <xf numFmtId="0" fontId="6" fillId="0" borderId="23" xfId="0" applyFont="1" applyBorder="1"/>
    <xf numFmtId="0" fontId="6" fillId="0" borderId="3" xfId="0" applyFont="1" applyBorder="1"/>
    <xf numFmtId="0" fontId="6" fillId="0" borderId="4" xfId="0" applyFont="1" applyBorder="1"/>
    <xf numFmtId="0" fontId="29" fillId="2" borderId="31" xfId="0" applyFont="1" applyFill="1" applyBorder="1"/>
    <xf numFmtId="0" fontId="8" fillId="2" borderId="10" xfId="0" applyFont="1" applyFill="1" applyBorder="1"/>
    <xf numFmtId="2" fontId="8" fillId="2" borderId="10" xfId="0" applyNumberFormat="1" applyFont="1" applyFill="1" applyBorder="1"/>
    <xf numFmtId="0" fontId="12" fillId="2" borderId="0" xfId="0" applyFont="1" applyFill="1"/>
    <xf numFmtId="0" fontId="12" fillId="2" borderId="10" xfId="0" applyFont="1" applyFill="1" applyBorder="1"/>
    <xf numFmtId="2" fontId="12" fillId="2" borderId="10" xfId="0" applyNumberFormat="1" applyFont="1" applyFill="1" applyBorder="1"/>
    <xf numFmtId="0" fontId="12" fillId="0" borderId="10" xfId="0" applyFont="1" applyBorder="1"/>
    <xf numFmtId="0" fontId="12" fillId="0" borderId="0" xfId="0" applyFont="1" applyBorder="1"/>
    <xf numFmtId="0" fontId="49" fillId="0" borderId="0" xfId="0" applyFont="1" applyBorder="1"/>
    <xf numFmtId="0" fontId="12" fillId="0" borderId="0" xfId="0" applyFont="1" applyBorder="1" applyAlignment="1">
      <alignment horizontal="left"/>
    </xf>
    <xf numFmtId="164" fontId="12" fillId="0" borderId="0" xfId="0" applyNumberFormat="1" applyFont="1" applyBorder="1"/>
    <xf numFmtId="2" fontId="12" fillId="0" borderId="0" xfId="0" applyNumberFormat="1" applyFont="1" applyBorder="1"/>
    <xf numFmtId="0" fontId="14" fillId="0" borderId="10" xfId="0" applyFont="1" applyBorder="1" applyAlignment="1">
      <alignment horizontal="center" vertical="center" wrapText="1"/>
    </xf>
    <xf numFmtId="164" fontId="12" fillId="0" borderId="10" xfId="0" applyNumberFormat="1" applyFont="1" applyBorder="1"/>
    <xf numFmtId="2" fontId="12" fillId="0" borderId="15" xfId="0" applyNumberFormat="1" applyFont="1" applyBorder="1"/>
    <xf numFmtId="164" fontId="12" fillId="2" borderId="10" xfId="0" applyNumberFormat="1" applyFont="1" applyFill="1" applyBorder="1"/>
    <xf numFmtId="2" fontId="13" fillId="0" borderId="23" xfId="0" applyNumberFormat="1" applyFont="1" applyBorder="1"/>
    <xf numFmtId="2" fontId="49" fillId="0" borderId="27" xfId="0" applyNumberFormat="1" applyFont="1" applyBorder="1"/>
    <xf numFmtId="0" fontId="13" fillId="0" borderId="0" xfId="0" applyFont="1" applyBorder="1" applyAlignment="1">
      <alignment horizontal="left"/>
    </xf>
    <xf numFmtId="0" fontId="13" fillId="0" borderId="0" xfId="0" applyFont="1"/>
    <xf numFmtId="0" fontId="12" fillId="0" borderId="0" xfId="0" applyFont="1" applyBorder="1" applyAlignment="1"/>
    <xf numFmtId="164" fontId="12" fillId="0" borderId="0" xfId="0" applyNumberFormat="1" applyFont="1" applyBorder="1" applyAlignment="1">
      <alignment horizontal="center"/>
    </xf>
    <xf numFmtId="0" fontId="12" fillId="2" borderId="11" xfId="0" applyFont="1" applyFill="1" applyBorder="1"/>
    <xf numFmtId="0" fontId="49" fillId="0" borderId="25" xfId="0" applyFont="1" applyBorder="1"/>
    <xf numFmtId="0" fontId="12" fillId="0" borderId="26" xfId="0" applyFont="1" applyBorder="1"/>
    <xf numFmtId="0" fontId="50" fillId="0" borderId="45" xfId="0" applyFont="1" applyBorder="1"/>
    <xf numFmtId="0" fontId="50" fillId="0" borderId="46" xfId="0" applyFont="1" applyBorder="1" applyAlignment="1">
      <alignment horizontal="right"/>
    </xf>
    <xf numFmtId="0" fontId="0" fillId="2" borderId="14" xfId="0" applyFill="1" applyBorder="1"/>
    <xf numFmtId="0" fontId="0" fillId="2" borderId="10" xfId="0" applyFill="1" applyBorder="1" applyAlignment="1">
      <alignment horizontal="right"/>
    </xf>
    <xf numFmtId="0" fontId="0" fillId="0" borderId="42" xfId="0" applyBorder="1"/>
    <xf numFmtId="0" fontId="14" fillId="2" borderId="10" xfId="0" applyFont="1" applyFill="1" applyBorder="1" applyAlignment="1">
      <alignment horizontal="center"/>
    </xf>
    <xf numFmtId="1" fontId="9" fillId="2" borderId="10" xfId="0" applyNumberFormat="1" applyFont="1" applyFill="1" applyBorder="1"/>
    <xf numFmtId="1" fontId="8" fillId="2" borderId="10" xfId="0" applyNumberFormat="1" applyFont="1" applyFill="1" applyBorder="1"/>
    <xf numFmtId="0" fontId="0" fillId="2" borderId="23" xfId="0" applyFill="1" applyBorder="1"/>
    <xf numFmtId="0" fontId="0" fillId="2" borderId="4" xfId="0" applyFill="1" applyBorder="1" applyAlignment="1">
      <alignment wrapText="1"/>
    </xf>
    <xf numFmtId="1" fontId="20" fillId="2" borderId="27" xfId="0" applyNumberFormat="1" applyFont="1" applyFill="1" applyBorder="1"/>
    <xf numFmtId="0" fontId="0" fillId="2" borderId="16" xfId="0" applyFill="1" applyBorder="1" applyAlignment="1">
      <alignment wrapText="1"/>
    </xf>
    <xf numFmtId="0" fontId="0" fillId="2" borderId="56" xfId="0" applyFill="1" applyBorder="1"/>
    <xf numFmtId="0" fontId="0" fillId="2" borderId="0" xfId="0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48" fillId="2" borderId="10" xfId="0" applyFont="1" applyFill="1" applyBorder="1" applyAlignment="1">
      <alignment horizontal="center" vertical="center" wrapText="1"/>
    </xf>
    <xf numFmtId="1" fontId="51" fillId="0" borderId="10" xfId="0" applyNumberFormat="1" applyFont="1" applyBorder="1" applyAlignment="1"/>
    <xf numFmtId="0" fontId="20" fillId="0" borderId="10" xfId="0" applyFont="1" applyBorder="1"/>
    <xf numFmtId="0" fontId="35" fillId="2" borderId="10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52" fillId="0" borderId="0" xfId="0" applyFont="1"/>
    <xf numFmtId="0" fontId="53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vertical="center" wrapText="1"/>
    </xf>
    <xf numFmtId="169" fontId="14" fillId="0" borderId="10" xfId="0" applyNumberFormat="1" applyFont="1" applyFill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16" fillId="0" borderId="10" xfId="0" applyFont="1" applyBorder="1" applyAlignment="1">
      <alignment wrapText="1"/>
    </xf>
    <xf numFmtId="2" fontId="14" fillId="0" borderId="10" xfId="0" applyNumberFormat="1" applyFont="1" applyFill="1" applyBorder="1" applyAlignment="1">
      <alignment horizontal="center"/>
    </xf>
    <xf numFmtId="1" fontId="9" fillId="0" borderId="0" xfId="0" applyNumberFormat="1" applyFont="1"/>
    <xf numFmtId="0" fontId="29" fillId="2" borderId="39" xfId="0" applyFont="1" applyFill="1" applyBorder="1" applyAlignment="1">
      <alignment vertical="top" wrapText="1"/>
    </xf>
    <xf numFmtId="0" fontId="29" fillId="2" borderId="32" xfId="0" applyFont="1" applyFill="1" applyBorder="1" applyAlignment="1">
      <alignment vertical="top" wrapText="1"/>
    </xf>
    <xf numFmtId="0" fontId="1" fillId="2" borderId="32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29" fillId="2" borderId="43" xfId="0" applyFont="1" applyFill="1" applyBorder="1" applyAlignment="1">
      <alignment vertical="top" wrapText="1"/>
    </xf>
    <xf numFmtId="0" fontId="47" fillId="2" borderId="8" xfId="0" applyFont="1" applyFill="1" applyBorder="1" applyAlignment="1">
      <alignment vertical="top" wrapText="1"/>
    </xf>
    <xf numFmtId="0" fontId="47" fillId="2" borderId="43" xfId="0" applyFont="1" applyFill="1" applyBorder="1" applyAlignment="1">
      <alignment vertical="top" wrapText="1"/>
    </xf>
    <xf numFmtId="0" fontId="29" fillId="2" borderId="8" xfId="0" applyFont="1" applyFill="1" applyBorder="1" applyAlignment="1">
      <alignment vertical="top" wrapText="1"/>
    </xf>
    <xf numFmtId="0" fontId="54" fillId="2" borderId="43" xfId="0" applyFont="1" applyFill="1" applyBorder="1" applyAlignment="1">
      <alignment vertical="top" wrapText="1"/>
    </xf>
    <xf numFmtId="0" fontId="55" fillId="2" borderId="0" xfId="0" applyFont="1" applyFill="1"/>
    <xf numFmtId="0" fontId="56" fillId="0" borderId="0" xfId="0" applyFont="1"/>
    <xf numFmtId="0" fontId="28" fillId="0" borderId="10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169" fontId="9" fillId="3" borderId="0" xfId="0" applyNumberFormat="1" applyFont="1" applyFill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50" fillId="0" borderId="24" xfId="0" applyFont="1" applyBorder="1" applyAlignment="1">
      <alignment wrapText="1"/>
    </xf>
    <xf numFmtId="1" fontId="0" fillId="0" borderId="10" xfId="0" applyNumberFormat="1" applyBorder="1"/>
    <xf numFmtId="0" fontId="0" fillId="2" borderId="54" xfId="0" applyFill="1" applyBorder="1"/>
    <xf numFmtId="0" fontId="50" fillId="0" borderId="23" xfId="0" applyFont="1" applyBorder="1"/>
    <xf numFmtId="0" fontId="0" fillId="2" borderId="44" xfId="0" applyFill="1" applyBorder="1"/>
    <xf numFmtId="0" fontId="0" fillId="2" borderId="45" xfId="0" applyFill="1" applyBorder="1"/>
    <xf numFmtId="0" fontId="0" fillId="2" borderId="45" xfId="0" applyFill="1" applyBorder="1" applyAlignment="1">
      <alignment horizontal="right"/>
    </xf>
    <xf numFmtId="0" fontId="0" fillId="2" borderId="63" xfId="0" applyFill="1" applyBorder="1"/>
    <xf numFmtId="1" fontId="0" fillId="0" borderId="45" xfId="0" applyNumberFormat="1" applyBorder="1"/>
    <xf numFmtId="0" fontId="0" fillId="0" borderId="47" xfId="0" applyBorder="1"/>
    <xf numFmtId="1" fontId="50" fillId="0" borderId="47" xfId="0" applyNumberFormat="1" applyFont="1" applyBorder="1"/>
    <xf numFmtId="1" fontId="47" fillId="2" borderId="43" xfId="0" applyNumberFormat="1" applyFont="1" applyFill="1" applyBorder="1" applyAlignment="1">
      <alignment vertical="top" wrapText="1"/>
    </xf>
    <xf numFmtId="164" fontId="49" fillId="0" borderId="10" xfId="0" applyNumberFormat="1" applyFont="1" applyBorder="1"/>
    <xf numFmtId="2" fontId="49" fillId="0" borderId="10" xfId="0" applyNumberFormat="1" applyFont="1" applyBorder="1"/>
    <xf numFmtId="1" fontId="49" fillId="0" borderId="27" xfId="0" applyNumberFormat="1" applyFont="1" applyBorder="1"/>
    <xf numFmtId="0" fontId="1" fillId="0" borderId="0" xfId="0" applyFont="1" applyAlignment="1">
      <alignment horizontal="right"/>
    </xf>
    <xf numFmtId="169" fontId="32" fillId="3" borderId="10" xfId="0" applyNumberFormat="1" applyFont="1" applyFill="1" applyBorder="1" applyAlignment="1">
      <alignment horizontal="center" vertical="center" wrapText="1"/>
    </xf>
    <xf numFmtId="1" fontId="57" fillId="3" borderId="1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12" fillId="2" borderId="10" xfId="0" applyFont="1" applyFill="1" applyBorder="1" applyAlignment="1">
      <alignment wrapText="1"/>
    </xf>
    <xf numFmtId="0" fontId="29" fillId="2" borderId="10" xfId="8" applyNumberFormat="1" applyFont="1" applyFill="1" applyBorder="1" applyAlignment="1" applyProtection="1">
      <alignment horizontal="center" vertical="top"/>
    </xf>
    <xf numFmtId="0" fontId="29" fillId="2" borderId="10" xfId="8" applyNumberFormat="1" applyFont="1" applyFill="1" applyBorder="1" applyAlignment="1" applyProtection="1">
      <alignment horizontal="center" vertical="top" wrapText="1"/>
    </xf>
    <xf numFmtId="167" fontId="15" fillId="2" borderId="10" xfId="0" applyNumberFormat="1" applyFont="1" applyFill="1" applyBorder="1" applyAlignment="1">
      <alignment horizontal="center" wrapText="1"/>
    </xf>
    <xf numFmtId="0" fontId="0" fillId="2" borderId="11" xfId="0" applyFill="1" applyBorder="1"/>
    <xf numFmtId="0" fontId="29" fillId="2" borderId="56" xfId="0" applyFont="1" applyFill="1" applyBorder="1"/>
    <xf numFmtId="0" fontId="29" fillId="2" borderId="10" xfId="0" applyFont="1" applyFill="1" applyBorder="1"/>
    <xf numFmtId="0" fontId="20" fillId="2" borderId="10" xfId="0" applyFont="1" applyFill="1" applyBorder="1"/>
    <xf numFmtId="0" fontId="20" fillId="2" borderId="0" xfId="0" applyFont="1" applyFill="1"/>
    <xf numFmtId="1" fontId="20" fillId="2" borderId="0" xfId="0" applyNumberFormat="1" applyFont="1" applyFill="1"/>
    <xf numFmtId="0" fontId="1" fillId="2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9" fillId="2" borderId="16" xfId="0" applyFont="1" applyFill="1" applyBorder="1" applyAlignment="1"/>
    <xf numFmtId="0" fontId="9" fillId="2" borderId="17" xfId="0" applyFont="1" applyFill="1" applyBorder="1" applyAlignment="1"/>
    <xf numFmtId="0" fontId="9" fillId="2" borderId="18" xfId="0" applyFont="1" applyFill="1" applyBorder="1" applyAlignment="1"/>
    <xf numFmtId="0" fontId="2" fillId="0" borderId="26" xfId="0" applyFont="1" applyBorder="1" applyAlignment="1">
      <alignment horizontal="center"/>
    </xf>
    <xf numFmtId="0" fontId="0" fillId="10" borderId="0" xfId="0" applyFill="1"/>
    <xf numFmtId="0" fontId="20" fillId="10" borderId="0" xfId="0" applyFont="1" applyFill="1"/>
    <xf numFmtId="0" fontId="0" fillId="0" borderId="10" xfId="0" applyBorder="1" applyAlignment="1"/>
    <xf numFmtId="0" fontId="0" fillId="0" borderId="10" xfId="0" applyFill="1" applyBorder="1" applyAlignment="1"/>
    <xf numFmtId="0" fontId="0" fillId="0" borderId="10" xfId="0" applyFill="1" applyBorder="1"/>
    <xf numFmtId="0" fontId="20" fillId="0" borderId="37" xfId="0" applyFont="1" applyFill="1" applyBorder="1" applyAlignment="1"/>
    <xf numFmtId="0" fontId="20" fillId="0" borderId="23" xfId="0" applyFont="1" applyBorder="1"/>
    <xf numFmtId="1" fontId="12" fillId="2" borderId="10" xfId="0" applyNumberFormat="1" applyFont="1" applyFill="1" applyBorder="1"/>
    <xf numFmtId="0" fontId="4" fillId="2" borderId="14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2" borderId="44" xfId="0" applyFont="1" applyFill="1" applyBorder="1" applyAlignment="1">
      <alignment horizontal="right"/>
    </xf>
    <xf numFmtId="0" fontId="4" fillId="0" borderId="45" xfId="0" applyFont="1" applyBorder="1" applyAlignment="1">
      <alignment horizontal="center"/>
    </xf>
    <xf numFmtId="0" fontId="1" fillId="0" borderId="46" xfId="0" applyFont="1" applyBorder="1"/>
    <xf numFmtId="0" fontId="1" fillId="0" borderId="44" xfId="0" applyFont="1" applyBorder="1"/>
    <xf numFmtId="0" fontId="1" fillId="0" borderId="33" xfId="0" applyFont="1" applyBorder="1"/>
    <xf numFmtId="0" fontId="1" fillId="0" borderId="24" xfId="0" applyFont="1" applyBorder="1"/>
    <xf numFmtId="169" fontId="0" fillId="9" borderId="0" xfId="0" applyNumberFormat="1" applyFill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2" fontId="0" fillId="0" borderId="10" xfId="0" applyNumberFormat="1" applyBorder="1"/>
    <xf numFmtId="2" fontId="20" fillId="0" borderId="0" xfId="0" applyNumberFormat="1" applyFont="1"/>
    <xf numFmtId="0" fontId="9" fillId="2" borderId="18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9" fillId="2" borderId="16" xfId="0" applyFont="1" applyFill="1" applyBorder="1" applyAlignment="1"/>
    <xf numFmtId="0" fontId="9" fillId="2" borderId="17" xfId="0" applyFont="1" applyFill="1" applyBorder="1" applyAlignment="1"/>
    <xf numFmtId="0" fontId="6" fillId="2" borderId="10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4" fillId="0" borderId="8" xfId="0" applyFont="1" applyBorder="1" applyAlignment="1">
      <alignment horizontal="justify" vertical="top" wrapText="1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justify" vertical="top" wrapText="1"/>
    </xf>
    <xf numFmtId="0" fontId="13" fillId="9" borderId="43" xfId="0" applyFont="1" applyFill="1" applyBorder="1" applyAlignment="1">
      <alignment horizontal="justify" vertical="top" wrapText="1"/>
    </xf>
    <xf numFmtId="0" fontId="14" fillId="9" borderId="43" xfId="0" applyFont="1" applyFill="1" applyBorder="1" applyAlignment="1">
      <alignment horizontal="justify" vertical="top" wrapText="1"/>
    </xf>
    <xf numFmtId="1" fontId="13" fillId="9" borderId="43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justify" vertical="top" wrapText="1"/>
    </xf>
    <xf numFmtId="9" fontId="14" fillId="0" borderId="0" xfId="0" applyNumberFormat="1" applyFont="1" applyBorder="1" applyAlignment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0" fillId="0" borderId="10" xfId="0" applyFill="1" applyBorder="1" applyAlignment="1">
      <alignment wrapText="1"/>
    </xf>
    <xf numFmtId="0" fontId="13" fillId="2" borderId="10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center"/>
    </xf>
    <xf numFmtId="0" fontId="7" fillId="2" borderId="0" xfId="0" applyFont="1" applyFill="1"/>
    <xf numFmtId="0" fontId="13" fillId="2" borderId="0" xfId="0" applyFont="1" applyFill="1" applyAlignment="1">
      <alignment horizontal="justify"/>
    </xf>
    <xf numFmtId="0" fontId="14" fillId="2" borderId="0" xfId="0" applyFont="1" applyFill="1" applyAlignment="1">
      <alignment horizontal="justify"/>
    </xf>
    <xf numFmtId="0" fontId="0" fillId="2" borderId="18" xfId="0" applyFill="1" applyBorder="1" applyAlignment="1"/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" fillId="2" borderId="41" xfId="0" applyFont="1" applyFill="1" applyBorder="1"/>
    <xf numFmtId="0" fontId="1" fillId="2" borderId="15" xfId="0" applyFont="1" applyFill="1" applyBorder="1"/>
    <xf numFmtId="0" fontId="1" fillId="0" borderId="17" xfId="0" applyFont="1" applyBorder="1" applyAlignment="1">
      <alignment horizontal="center"/>
    </xf>
    <xf numFmtId="0" fontId="9" fillId="2" borderId="20" xfId="0" applyFont="1" applyFill="1" applyBorder="1" applyAlignment="1"/>
    <xf numFmtId="0" fontId="9" fillId="2" borderId="22" xfId="0" applyFont="1" applyFill="1" applyBorder="1" applyAlignment="1"/>
    <xf numFmtId="0" fontId="0" fillId="0" borderId="53" xfId="0" applyBorder="1" applyAlignment="1">
      <alignment wrapText="1"/>
    </xf>
    <xf numFmtId="0" fontId="0" fillId="0" borderId="0" xfId="0" applyBorder="1" applyAlignment="1">
      <alignment wrapText="1"/>
    </xf>
    <xf numFmtId="0" fontId="17" fillId="2" borderId="0" xfId="0" applyFont="1" applyFill="1"/>
    <xf numFmtId="0" fontId="11" fillId="2" borderId="0" xfId="0" applyFont="1" applyFill="1"/>
    <xf numFmtId="0" fontId="15" fillId="2" borderId="0" xfId="0" applyFont="1" applyFill="1"/>
    <xf numFmtId="0" fontId="16" fillId="2" borderId="0" xfId="0" applyFont="1" applyFill="1" applyAlignment="1"/>
    <xf numFmtId="0" fontId="15" fillId="2" borderId="0" xfId="0" applyFont="1" applyFill="1" applyAlignment="1"/>
    <xf numFmtId="0" fontId="6" fillId="2" borderId="0" xfId="0" applyFont="1" applyFill="1"/>
    <xf numFmtId="0" fontId="8" fillId="2" borderId="1" xfId="0" applyFont="1" applyFill="1" applyBorder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3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1" fontId="6" fillId="2" borderId="11" xfId="0" applyNumberFormat="1" applyFont="1" applyFill="1" applyBorder="1"/>
    <xf numFmtId="1" fontId="6" fillId="2" borderId="13" xfId="0" applyNumberFormat="1" applyFont="1" applyFill="1" applyBorder="1"/>
    <xf numFmtId="0" fontId="6" fillId="2" borderId="9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6" fillId="2" borderId="3" xfId="0" applyFont="1" applyFill="1" applyBorder="1"/>
    <xf numFmtId="0" fontId="8" fillId="2" borderId="4" xfId="0" applyFont="1" applyFill="1" applyBorder="1"/>
    <xf numFmtId="1" fontId="8" fillId="2" borderId="4" xfId="0" applyNumberFormat="1" applyFont="1" applyFill="1" applyBorder="1"/>
    <xf numFmtId="0" fontId="8" fillId="2" borderId="26" xfId="0" applyFont="1" applyFill="1" applyBorder="1" applyAlignment="1"/>
    <xf numFmtId="0" fontId="6" fillId="2" borderId="3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top"/>
    </xf>
    <xf numFmtId="1" fontId="6" fillId="2" borderId="10" xfId="0" applyNumberFormat="1" applyFont="1" applyFill="1" applyBorder="1"/>
    <xf numFmtId="0" fontId="6" fillId="2" borderId="14" xfId="0" applyFont="1" applyFill="1" applyBorder="1" applyAlignment="1">
      <alignment horizontal="right" vertical="top"/>
    </xf>
    <xf numFmtId="0" fontId="6" fillId="2" borderId="11" xfId="0" applyFont="1" applyFill="1" applyBorder="1" applyAlignment="1">
      <alignment horizontal="right" vertical="top"/>
    </xf>
    <xf numFmtId="0" fontId="9" fillId="2" borderId="53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right" vertical="top"/>
    </xf>
    <xf numFmtId="0" fontId="6" fillId="2" borderId="23" xfId="0" applyFont="1" applyFill="1" applyBorder="1" applyAlignment="1">
      <alignment horizontal="center"/>
    </xf>
    <xf numFmtId="0" fontId="6" fillId="2" borderId="37" xfId="0" applyFont="1" applyFill="1" applyBorder="1"/>
    <xf numFmtId="1" fontId="6" fillId="2" borderId="37" xfId="0" applyNumberFormat="1" applyFont="1" applyFill="1" applyBorder="1"/>
    <xf numFmtId="0" fontId="6" fillId="2" borderId="55" xfId="0" applyFont="1" applyFill="1" applyBorder="1"/>
    <xf numFmtId="1" fontId="8" fillId="2" borderId="6" xfId="0" applyNumberFormat="1" applyFont="1" applyFill="1" applyBorder="1"/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right" wrapText="1"/>
    </xf>
    <xf numFmtId="1" fontId="6" fillId="2" borderId="13" xfId="0" applyNumberFormat="1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right" wrapText="1"/>
    </xf>
    <xf numFmtId="1" fontId="6" fillId="2" borderId="10" xfId="0" applyNumberFormat="1" applyFont="1" applyFill="1" applyBorder="1" applyAlignment="1">
      <alignment horizontal="right" wrapText="1"/>
    </xf>
    <xf numFmtId="1" fontId="6" fillId="2" borderId="15" xfId="0" applyNumberFormat="1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0" fontId="6" fillId="2" borderId="58" xfId="0" applyFont="1" applyFill="1" applyBorder="1" applyAlignment="1">
      <alignment horizontal="right"/>
    </xf>
    <xf numFmtId="0" fontId="9" fillId="2" borderId="57" xfId="0" applyFont="1" applyFill="1" applyBorder="1" applyAlignment="1">
      <alignment wrapText="1"/>
    </xf>
    <xf numFmtId="0" fontId="9" fillId="2" borderId="58" xfId="0" applyFont="1" applyFill="1" applyBorder="1" applyAlignment="1">
      <alignment wrapText="1"/>
    </xf>
    <xf numFmtId="0" fontId="9" fillId="2" borderId="23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57" xfId="0" applyFont="1" applyFill="1" applyBorder="1" applyAlignment="1"/>
    <xf numFmtId="0" fontId="9" fillId="2" borderId="58" xfId="0" applyFont="1" applyFill="1" applyBorder="1" applyAlignment="1"/>
    <xf numFmtId="1" fontId="6" fillId="2" borderId="23" xfId="0" applyNumberFormat="1" applyFont="1" applyFill="1" applyBorder="1" applyAlignment="1">
      <alignment horizontal="right" wrapText="1"/>
    </xf>
    <xf numFmtId="1" fontId="6" fillId="2" borderId="24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right"/>
    </xf>
    <xf numFmtId="1" fontId="8" fillId="2" borderId="4" xfId="0" applyNumberFormat="1" applyFont="1" applyFill="1" applyBorder="1" applyAlignment="1">
      <alignment horizontal="right"/>
    </xf>
    <xf numFmtId="1" fontId="8" fillId="2" borderId="6" xfId="0" applyNumberFormat="1" applyFont="1" applyFill="1" applyBorder="1" applyAlignment="1">
      <alignment horizontal="right"/>
    </xf>
    <xf numFmtId="0" fontId="6" fillId="2" borderId="2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center"/>
    </xf>
    <xf numFmtId="1" fontId="6" fillId="2" borderId="45" xfId="0" applyNumberFormat="1" applyFont="1" applyFill="1" applyBorder="1"/>
    <xf numFmtId="1" fontId="6" fillId="2" borderId="15" xfId="0" applyNumberFormat="1" applyFont="1" applyFill="1" applyBorder="1"/>
    <xf numFmtId="1" fontId="6" fillId="2" borderId="23" xfId="0" applyNumberFormat="1" applyFont="1" applyFill="1" applyBorder="1"/>
    <xf numFmtId="1" fontId="6" fillId="2" borderId="24" xfId="0" applyNumberFormat="1" applyFont="1" applyFill="1" applyBorder="1"/>
    <xf numFmtId="0" fontId="6" fillId="2" borderId="66" xfId="0" applyFont="1" applyFill="1" applyBorder="1"/>
    <xf numFmtId="0" fontId="6" fillId="2" borderId="4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/>
    </xf>
    <xf numFmtId="0" fontId="6" fillId="2" borderId="33" xfId="0" applyFont="1" applyFill="1" applyBorder="1" applyAlignment="1">
      <alignment horizontal="right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wrapText="1"/>
    </xf>
    <xf numFmtId="0" fontId="52" fillId="2" borderId="0" xfId="0" applyFont="1" applyFill="1"/>
    <xf numFmtId="169" fontId="14" fillId="2" borderId="10" xfId="0" applyNumberFormat="1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 vertical="center" wrapText="1"/>
    </xf>
    <xf numFmtId="0" fontId="0" fillId="2" borderId="25" xfId="0" applyFill="1" applyBorder="1"/>
    <xf numFmtId="0" fontId="38" fillId="2" borderId="10" xfId="0" applyFont="1" applyFill="1" applyBorder="1" applyAlignment="1">
      <alignment horizontal="center" vertical="top" wrapText="1"/>
    </xf>
    <xf numFmtId="0" fontId="39" fillId="2" borderId="11" xfId="0" applyFont="1" applyFill="1" applyBorder="1" applyAlignment="1">
      <alignment vertical="center"/>
    </xf>
    <xf numFmtId="0" fontId="39" fillId="2" borderId="11" xfId="0" applyFont="1" applyFill="1" applyBorder="1" applyAlignment="1"/>
    <xf numFmtId="0" fontId="39" fillId="2" borderId="11" xfId="0" applyFont="1" applyFill="1" applyBorder="1" applyAlignment="1">
      <alignment vertical="center" wrapText="1"/>
    </xf>
    <xf numFmtId="0" fontId="39" fillId="2" borderId="10" xfId="0" applyFont="1" applyFill="1" applyBorder="1" applyAlignment="1">
      <alignment wrapText="1"/>
    </xf>
    <xf numFmtId="166" fontId="39" fillId="2" borderId="11" xfId="0" applyNumberFormat="1" applyFont="1" applyFill="1" applyBorder="1" applyAlignment="1">
      <alignment horizontal="center"/>
    </xf>
    <xf numFmtId="166" fontId="39" fillId="2" borderId="10" xfId="0" applyNumberFormat="1" applyFont="1" applyFill="1" applyBorder="1" applyAlignment="1">
      <alignment horizontal="center"/>
    </xf>
    <xf numFmtId="166" fontId="40" fillId="2" borderId="10" xfId="0" applyNumberFormat="1" applyFont="1" applyFill="1" applyBorder="1" applyAlignment="1">
      <alignment horizontal="center"/>
    </xf>
    <xf numFmtId="9" fontId="39" fillId="2" borderId="10" xfId="1" applyNumberFormat="1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 vertical="center"/>
    </xf>
    <xf numFmtId="166" fontId="41" fillId="2" borderId="10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wrapText="1"/>
    </xf>
    <xf numFmtId="0" fontId="42" fillId="2" borderId="10" xfId="0" applyFont="1" applyFill="1" applyBorder="1" applyAlignment="1">
      <alignment horizontal="center" wrapText="1"/>
    </xf>
    <xf numFmtId="0" fontId="37" fillId="2" borderId="10" xfId="0" applyFont="1" applyFill="1" applyBorder="1" applyAlignment="1">
      <alignment horizontal="center" wrapText="1"/>
    </xf>
    <xf numFmtId="167" fontId="37" fillId="2" borderId="10" xfId="0" applyNumberFormat="1" applyFont="1" applyFill="1" applyBorder="1" applyAlignment="1">
      <alignment horizontal="center" wrapText="1"/>
    </xf>
    <xf numFmtId="0" fontId="50" fillId="2" borderId="0" xfId="0" applyFont="1" applyFill="1" applyAlignment="1"/>
    <xf numFmtId="1" fontId="0" fillId="2" borderId="0" xfId="0" applyNumberFormat="1" applyFill="1"/>
    <xf numFmtId="0" fontId="32" fillId="2" borderId="0" xfId="0" applyFont="1" applyFill="1"/>
    <xf numFmtId="0" fontId="13" fillId="2" borderId="0" xfId="0" applyFont="1" applyFill="1" applyAlignment="1">
      <alignment horizontal="left"/>
    </xf>
    <xf numFmtId="0" fontId="9" fillId="2" borderId="10" xfId="0" applyFont="1" applyFill="1" applyBorder="1" applyAlignment="1">
      <alignment vertical="center" wrapText="1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2" borderId="4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2" fontId="6" fillId="2" borderId="11" xfId="0" applyNumberFormat="1" applyFont="1" applyFill="1" applyBorder="1" applyAlignment="1"/>
    <xf numFmtId="0" fontId="6" fillId="2" borderId="14" xfId="0" applyFont="1" applyFill="1" applyBorder="1"/>
    <xf numFmtId="0" fontId="0" fillId="0" borderId="0" xfId="0" applyBorder="1" applyAlignment="1">
      <alignment horizontal="center" wrapText="1"/>
    </xf>
    <xf numFmtId="49" fontId="9" fillId="2" borderId="10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/>
    </xf>
    <xf numFmtId="49" fontId="5" fillId="0" borderId="0" xfId="0" applyNumberFormat="1" applyFont="1" applyFill="1"/>
    <xf numFmtId="0" fontId="5" fillId="0" borderId="0" xfId="0" applyFont="1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60" fillId="0" borderId="11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60" fillId="0" borderId="10" xfId="0" applyFon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165" fontId="0" fillId="0" borderId="10" xfId="0" applyNumberFormat="1" applyBorder="1"/>
    <xf numFmtId="14" fontId="0" fillId="0" borderId="10" xfId="0" applyNumberFormat="1" applyBorder="1" applyAlignment="1">
      <alignment horizontal="center" vertical="center"/>
    </xf>
    <xf numFmtId="0" fontId="60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60" fillId="0" borderId="10" xfId="0" applyFont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vertical="center"/>
    </xf>
    <xf numFmtId="1" fontId="2" fillId="0" borderId="0" xfId="0" applyNumberFormat="1" applyFont="1" applyBorder="1" applyAlignment="1"/>
    <xf numFmtId="0" fontId="62" fillId="0" borderId="0" xfId="0" applyFont="1" applyAlignment="1"/>
    <xf numFmtId="0" fontId="63" fillId="0" borderId="0" xfId="0" applyFont="1"/>
    <xf numFmtId="49" fontId="64" fillId="0" borderId="0" xfId="0" applyNumberFormat="1" applyFont="1" applyFill="1" applyAlignment="1">
      <alignment wrapText="1"/>
    </xf>
    <xf numFmtId="0" fontId="63" fillId="0" borderId="1" xfId="0" applyFont="1" applyBorder="1"/>
    <xf numFmtId="49" fontId="65" fillId="0" borderId="11" xfId="0" applyNumberFormat="1" applyFont="1" applyFill="1" applyBorder="1" applyAlignment="1">
      <alignment horizontal="center" vertical="center" wrapText="1"/>
    </xf>
    <xf numFmtId="0" fontId="65" fillId="0" borderId="11" xfId="0" applyFont="1" applyFill="1" applyBorder="1" applyAlignment="1">
      <alignment horizontal="center" vertical="center" wrapText="1"/>
    </xf>
    <xf numFmtId="0" fontId="66" fillId="0" borderId="11" xfId="0" applyFont="1" applyBorder="1" applyAlignment="1">
      <alignment horizontal="center" wrapText="1"/>
    </xf>
    <xf numFmtId="49" fontId="64" fillId="2" borderId="10" xfId="0" applyNumberFormat="1" applyFont="1" applyFill="1" applyBorder="1" applyAlignment="1">
      <alignment horizontal="left" vertical="center" wrapText="1"/>
    </xf>
    <xf numFmtId="49" fontId="65" fillId="2" borderId="10" xfId="0" applyNumberFormat="1" applyFont="1" applyFill="1" applyBorder="1" applyAlignment="1">
      <alignment horizontal="center" vertical="center" wrapText="1"/>
    </xf>
    <xf numFmtId="0" fontId="63" fillId="0" borderId="10" xfId="0" applyFont="1" applyBorder="1"/>
    <xf numFmtId="49" fontId="65" fillId="2" borderId="10" xfId="0" applyNumberFormat="1" applyFont="1" applyFill="1" applyBorder="1" applyAlignment="1">
      <alignment horizontal="left" vertical="center" wrapText="1"/>
    </xf>
    <xf numFmtId="170" fontId="63" fillId="0" borderId="10" xfId="0" applyNumberFormat="1" applyFont="1" applyBorder="1"/>
    <xf numFmtId="49" fontId="64" fillId="2" borderId="16" xfId="0" applyNumberFormat="1" applyFont="1" applyFill="1" applyBorder="1" applyAlignment="1">
      <alignment horizontal="left" vertical="center" wrapText="1"/>
    </xf>
    <xf numFmtId="49" fontId="64" fillId="2" borderId="18" xfId="0" applyNumberFormat="1" applyFont="1" applyFill="1" applyBorder="1" applyAlignment="1">
      <alignment horizontal="center" vertical="center" wrapText="1"/>
    </xf>
    <xf numFmtId="0" fontId="67" fillId="0" borderId="10" xfId="0" applyFont="1" applyBorder="1"/>
    <xf numFmtId="170" fontId="67" fillId="0" borderId="10" xfId="0" applyNumberFormat="1" applyFont="1" applyBorder="1"/>
    <xf numFmtId="170" fontId="68" fillId="0" borderId="10" xfId="0" applyNumberFormat="1" applyFont="1" applyBorder="1"/>
    <xf numFmtId="49" fontId="65" fillId="2" borderId="10" xfId="0" applyNumberFormat="1" applyFont="1" applyFill="1" applyBorder="1"/>
    <xf numFmtId="0" fontId="63" fillId="0" borderId="10" xfId="0" applyFont="1" applyBorder="1" applyAlignment="1">
      <alignment horizontal="center"/>
    </xf>
    <xf numFmtId="0" fontId="63" fillId="0" borderId="10" xfId="0" applyFont="1" applyBorder="1" applyAlignment="1">
      <alignment horizontal="center" vertical="center"/>
    </xf>
    <xf numFmtId="2" fontId="67" fillId="0" borderId="10" xfId="0" applyNumberFormat="1" applyFont="1" applyBorder="1"/>
    <xf numFmtId="0" fontId="67" fillId="0" borderId="10" xfId="0" applyFont="1" applyFill="1" applyBorder="1"/>
    <xf numFmtId="169" fontId="67" fillId="0" borderId="10" xfId="0" applyNumberFormat="1" applyFont="1" applyBorder="1"/>
    <xf numFmtId="0" fontId="63" fillId="0" borderId="81" xfId="0" applyFont="1" applyBorder="1"/>
    <xf numFmtId="0" fontId="63" fillId="0" borderId="7" xfId="0" applyFont="1" applyBorder="1"/>
    <xf numFmtId="0" fontId="63" fillId="0" borderId="80" xfId="0" applyFont="1" applyBorder="1"/>
    <xf numFmtId="49" fontId="65" fillId="2" borderId="51" xfId="0" applyNumberFormat="1" applyFont="1" applyFill="1" applyBorder="1" applyAlignment="1">
      <alignment horizontal="left" vertical="center" wrapText="1"/>
    </xf>
    <xf numFmtId="49" fontId="65" fillId="3" borderId="11" xfId="0" applyNumberFormat="1" applyFont="1" applyFill="1" applyBorder="1"/>
    <xf numFmtId="0" fontId="63" fillId="0" borderId="11" xfId="0" applyFont="1" applyBorder="1"/>
    <xf numFmtId="49" fontId="65" fillId="2" borderId="54" xfId="0" applyNumberFormat="1" applyFont="1" applyFill="1" applyBorder="1" applyAlignment="1">
      <alignment horizontal="left" vertical="center" wrapText="1"/>
    </xf>
    <xf numFmtId="49" fontId="65" fillId="3" borderId="10" xfId="0" applyNumberFormat="1" applyFont="1" applyFill="1" applyBorder="1"/>
    <xf numFmtId="0" fontId="63" fillId="0" borderId="37" xfId="0" applyFont="1" applyBorder="1"/>
    <xf numFmtId="0" fontId="63" fillId="0" borderId="55" xfId="0" applyFont="1" applyBorder="1"/>
    <xf numFmtId="44" fontId="65" fillId="3" borderId="10" xfId="0" applyNumberFormat="1" applyFont="1" applyFill="1" applyBorder="1" applyAlignment="1">
      <alignment wrapText="1"/>
    </xf>
    <xf numFmtId="0" fontId="18" fillId="10" borderId="0" xfId="0" applyFont="1" applyFill="1"/>
    <xf numFmtId="0" fontId="51" fillId="10" borderId="0" xfId="0" applyFont="1" applyFill="1"/>
    <xf numFmtId="0" fontId="70" fillId="0" borderId="45" xfId="3" applyNumberFormat="1" applyFont="1" applyBorder="1">
      <alignment horizontal="center" vertical="center" wrapText="1"/>
    </xf>
    <xf numFmtId="0" fontId="70" fillId="0" borderId="45" xfId="3" applyFont="1" applyBorder="1">
      <alignment horizontal="center" vertical="center" wrapText="1"/>
    </xf>
    <xf numFmtId="0" fontId="70" fillId="0" borderId="46" xfId="3" applyFont="1" applyBorder="1">
      <alignment horizontal="center" vertical="center" wrapText="1"/>
    </xf>
    <xf numFmtId="0" fontId="70" fillId="0" borderId="10" xfId="3" applyNumberFormat="1" applyFont="1" applyBorder="1">
      <alignment horizontal="center" vertical="center" wrapText="1"/>
    </xf>
    <xf numFmtId="0" fontId="70" fillId="0" borderId="10" xfId="3" applyFont="1" applyBorder="1">
      <alignment horizontal="center" vertical="center" wrapText="1"/>
    </xf>
    <xf numFmtId="0" fontId="70" fillId="0" borderId="15" xfId="3" applyFont="1" applyBorder="1">
      <alignment horizontal="center" vertical="center" wrapText="1"/>
    </xf>
    <xf numFmtId="0" fontId="69" fillId="0" borderId="14" xfId="3" applyFont="1" applyBorder="1">
      <alignment horizontal="center" vertical="center" wrapText="1"/>
    </xf>
    <xf numFmtId="0" fontId="70" fillId="0" borderId="14" xfId="3" applyFont="1" applyBorder="1">
      <alignment horizontal="center" vertical="center" wrapText="1"/>
    </xf>
    <xf numFmtId="49" fontId="18" fillId="0" borderId="10" xfId="0" applyNumberFormat="1" applyFont="1" applyBorder="1" applyAlignment="1">
      <alignment vertical="top"/>
    </xf>
    <xf numFmtId="4" fontId="71" fillId="4" borderId="10" xfId="4" applyNumberFormat="1" applyFont="1" applyBorder="1" applyProtection="1">
      <alignment horizontal="right"/>
    </xf>
    <xf numFmtId="4" fontId="71" fillId="5" borderId="15" xfId="5" applyFont="1" applyBorder="1">
      <alignment horizontal="right"/>
    </xf>
    <xf numFmtId="49" fontId="18" fillId="0" borderId="14" xfId="0" applyNumberFormat="1" applyFont="1" applyBorder="1" applyAlignment="1">
      <alignment vertical="top"/>
    </xf>
    <xf numFmtId="4" fontId="18" fillId="4" borderId="10" xfId="0" applyNumberFormat="1" applyFont="1" applyFill="1" applyBorder="1" applyAlignment="1" applyProtection="1">
      <alignment vertical="top"/>
    </xf>
    <xf numFmtId="4" fontId="70" fillId="5" borderId="15" xfId="5" applyFont="1" applyBorder="1">
      <alignment horizontal="right"/>
    </xf>
    <xf numFmtId="4" fontId="71" fillId="4" borderId="10" xfId="4" applyNumberFormat="1" applyFont="1" applyFill="1" applyBorder="1" applyProtection="1">
      <alignment horizontal="right"/>
    </xf>
    <xf numFmtId="4" fontId="71" fillId="7" borderId="10" xfId="4" applyNumberFormat="1" applyFont="1" applyFill="1" applyBorder="1" applyProtection="1">
      <alignment horizontal="right"/>
    </xf>
    <xf numFmtId="166" fontId="70" fillId="5" borderId="15" xfId="5" applyNumberFormat="1" applyFont="1" applyBorder="1">
      <alignment horizontal="right"/>
    </xf>
    <xf numFmtId="49" fontId="18" fillId="0" borderId="19" xfId="0" applyNumberFormat="1" applyFont="1" applyBorder="1" applyAlignment="1">
      <alignment vertical="top"/>
    </xf>
    <xf numFmtId="49" fontId="18" fillId="0" borderId="47" xfId="0" applyNumberFormat="1" applyFont="1" applyBorder="1" applyAlignment="1">
      <alignment vertical="top"/>
    </xf>
    <xf numFmtId="4" fontId="18" fillId="4" borderId="47" xfId="0" applyNumberFormat="1" applyFont="1" applyFill="1" applyBorder="1" applyAlignment="1" applyProtection="1">
      <alignment vertical="top"/>
    </xf>
    <xf numFmtId="4" fontId="70" fillId="5" borderId="48" xfId="5" applyNumberFormat="1" applyFont="1" applyBorder="1">
      <alignment horizontal="right"/>
    </xf>
    <xf numFmtId="0" fontId="51" fillId="0" borderId="0" xfId="0" applyFont="1"/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/>
    <xf numFmtId="0" fontId="47" fillId="2" borderId="25" xfId="0" applyFont="1" applyFill="1" applyBorder="1" applyAlignment="1">
      <alignment horizontal="center"/>
    </xf>
    <xf numFmtId="0" fontId="47" fillId="2" borderId="35" xfId="0" applyFont="1" applyFill="1" applyBorder="1" applyAlignment="1"/>
    <xf numFmtId="0" fontId="47" fillId="2" borderId="26" xfId="0" applyFont="1" applyFill="1" applyBorder="1" applyAlignment="1">
      <alignment horizontal="center"/>
    </xf>
    <xf numFmtId="0" fontId="47" fillId="2" borderId="6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4" fillId="2" borderId="23" xfId="0" applyFont="1" applyFill="1" applyBorder="1" applyAlignment="1">
      <alignment horizontal="center" vertical="top" wrapText="1"/>
    </xf>
    <xf numFmtId="164" fontId="49" fillId="0" borderId="0" xfId="0" applyNumberFormat="1" applyFont="1" applyBorder="1"/>
    <xf numFmtId="2" fontId="49" fillId="0" borderId="0" xfId="0" applyNumberFormat="1" applyFont="1" applyBorder="1"/>
    <xf numFmtId="0" fontId="1" fillId="8" borderId="0" xfId="0" applyFont="1" applyFill="1"/>
    <xf numFmtId="0" fontId="72" fillId="2" borderId="0" xfId="0" applyFont="1" applyFill="1"/>
    <xf numFmtId="0" fontId="72" fillId="2" borderId="10" xfId="0" applyFont="1" applyFill="1" applyBorder="1"/>
    <xf numFmtId="0" fontId="73" fillId="2" borderId="10" xfId="0" applyFont="1" applyFill="1" applyBorder="1" applyAlignment="1">
      <alignment wrapText="1"/>
    </xf>
    <xf numFmtId="0" fontId="72" fillId="2" borderId="10" xfId="0" applyFont="1" applyFill="1" applyBorder="1" applyAlignment="1">
      <alignment wrapText="1"/>
    </xf>
    <xf numFmtId="0" fontId="73" fillId="2" borderId="10" xfId="0" applyFont="1" applyFill="1" applyBorder="1"/>
    <xf numFmtId="1" fontId="72" fillId="2" borderId="10" xfId="0" applyNumberFormat="1" applyFont="1" applyFill="1" applyBorder="1"/>
    <xf numFmtId="169" fontId="72" fillId="2" borderId="10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16" fontId="72" fillId="2" borderId="10" xfId="0" applyNumberFormat="1" applyFont="1" applyFill="1" applyBorder="1" applyAlignment="1">
      <alignment horizontal="right"/>
    </xf>
    <xf numFmtId="1" fontId="73" fillId="2" borderId="10" xfId="0" applyNumberFormat="1" applyFont="1" applyFill="1" applyBorder="1"/>
    <xf numFmtId="0" fontId="1" fillId="2" borderId="0" xfId="0" applyFont="1" applyFill="1" applyBorder="1"/>
    <xf numFmtId="0" fontId="0" fillId="2" borderId="10" xfId="0" applyFont="1" applyFill="1" applyBorder="1" applyAlignment="1">
      <alignment horizontal="center" vertical="center" wrapText="1"/>
    </xf>
    <xf numFmtId="0" fontId="0" fillId="2" borderId="12" xfId="0" applyFill="1" applyBorder="1"/>
    <xf numFmtId="0" fontId="8" fillId="2" borderId="0" xfId="0" applyFont="1" applyFill="1" applyBorder="1" applyAlignment="1"/>
    <xf numFmtId="0" fontId="8" fillId="2" borderId="12" xfId="0" applyFont="1" applyFill="1" applyBorder="1" applyAlignment="1"/>
    <xf numFmtId="0" fontId="20" fillId="0" borderId="37" xfId="0" applyFont="1" applyFill="1" applyBorder="1"/>
    <xf numFmtId="0" fontId="74" fillId="0" borderId="0" xfId="0" applyFont="1"/>
    <xf numFmtId="0" fontId="75" fillId="2" borderId="10" xfId="0" applyFont="1" applyFill="1" applyBorder="1" applyAlignment="1">
      <alignment wrapText="1"/>
    </xf>
    <xf numFmtId="0" fontId="0" fillId="2" borderId="0" xfId="0" applyFont="1" applyFill="1"/>
    <xf numFmtId="0" fontId="77" fillId="2" borderId="11" xfId="0" applyFont="1" applyFill="1" applyBorder="1" applyAlignment="1">
      <alignment horizontal="center"/>
    </xf>
    <xf numFmtId="0" fontId="0" fillId="2" borderId="10" xfId="0" applyFont="1" applyFill="1" applyBorder="1"/>
    <xf numFmtId="0" fontId="77" fillId="2" borderId="37" xfId="0" applyFont="1" applyFill="1" applyBorder="1" applyAlignment="1"/>
    <xf numFmtId="0" fontId="0" fillId="2" borderId="10" xfId="0" applyFont="1" applyFill="1" applyBorder="1" applyAlignment="1">
      <alignment horizontal="center"/>
    </xf>
    <xf numFmtId="0" fontId="77" fillId="2" borderId="10" xfId="0" applyFont="1" applyFill="1" applyBorder="1" applyAlignment="1">
      <alignment horizontal="center"/>
    </xf>
    <xf numFmtId="0" fontId="77" fillId="2" borderId="10" xfId="0" applyFont="1" applyFill="1" applyBorder="1"/>
    <xf numFmtId="0" fontId="79" fillId="2" borderId="10" xfId="0" applyFont="1" applyFill="1" applyBorder="1" applyAlignment="1">
      <alignment horizontal="center"/>
    </xf>
    <xf numFmtId="169" fontId="77" fillId="2" borderId="10" xfId="0" applyNumberFormat="1" applyFont="1" applyFill="1" applyBorder="1"/>
    <xf numFmtId="169" fontId="77" fillId="2" borderId="10" xfId="0" applyNumberFormat="1" applyFont="1" applyFill="1" applyBorder="1" applyAlignment="1">
      <alignment horizontal="center"/>
    </xf>
    <xf numFmtId="169" fontId="76" fillId="2" borderId="10" xfId="0" applyNumberFormat="1" applyFont="1" applyFill="1" applyBorder="1" applyAlignment="1">
      <alignment horizontal="center"/>
    </xf>
    <xf numFmtId="16" fontId="77" fillId="2" borderId="10" xfId="0" applyNumberFormat="1" applyFont="1" applyFill="1" applyBorder="1" applyAlignment="1"/>
    <xf numFmtId="0" fontId="76" fillId="2" borderId="10" xfId="0" applyFont="1" applyFill="1" applyBorder="1" applyAlignment="1"/>
    <xf numFmtId="1" fontId="76" fillId="2" borderId="10" xfId="0" applyNumberFormat="1" applyFont="1" applyFill="1" applyBorder="1" applyAlignment="1">
      <alignment horizontal="center"/>
    </xf>
    <xf numFmtId="0" fontId="77" fillId="2" borderId="10" xfId="0" applyFont="1" applyFill="1" applyBorder="1" applyAlignment="1">
      <alignment wrapText="1"/>
    </xf>
    <xf numFmtId="0" fontId="77" fillId="2" borderId="37" xfId="0" applyFont="1" applyFill="1" applyBorder="1"/>
    <xf numFmtId="0" fontId="77" fillId="2" borderId="10" xfId="0" applyFont="1" applyFill="1" applyBorder="1" applyAlignment="1"/>
    <xf numFmtId="0" fontId="0" fillId="2" borderId="11" xfId="0" applyFont="1" applyFill="1" applyBorder="1"/>
    <xf numFmtId="0" fontId="77" fillId="2" borderId="11" xfId="0" applyFont="1" applyFill="1" applyBorder="1"/>
    <xf numFmtId="0" fontId="0" fillId="2" borderId="0" xfId="0" applyFont="1" applyFill="1" applyAlignment="1">
      <alignment horizontal="center" wrapText="1"/>
    </xf>
    <xf numFmtId="0" fontId="28" fillId="2" borderId="10" xfId="8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83" xfId="0" applyBorder="1" applyAlignment="1">
      <alignment vertical="center" wrapText="1"/>
    </xf>
    <xf numFmtId="0" fontId="0" fillId="0" borderId="83" xfId="0" applyBorder="1" applyAlignment="1">
      <alignment vertical="top" wrapText="1"/>
    </xf>
    <xf numFmtId="0" fontId="0" fillId="0" borderId="84" xfId="0" applyBorder="1" applyAlignment="1">
      <alignment vertical="center" wrapText="1"/>
    </xf>
    <xf numFmtId="0" fontId="29" fillId="2" borderId="71" xfId="8" applyNumberFormat="1" applyFont="1" applyFill="1" applyBorder="1" applyAlignment="1" applyProtection="1">
      <alignment horizontal="center" vertical="top"/>
    </xf>
    <xf numFmtId="0" fontId="29" fillId="2" borderId="71" xfId="8" applyFont="1" applyFill="1" applyBorder="1" applyAlignment="1">
      <alignment horizontal="center" wrapText="1"/>
    </xf>
    <xf numFmtId="0" fontId="28" fillId="2" borderId="10" xfId="8" applyFont="1" applyFill="1" applyBorder="1" applyAlignment="1">
      <alignment wrapText="1"/>
    </xf>
    <xf numFmtId="2" fontId="28" fillId="2" borderId="10" xfId="8" applyNumberFormat="1" applyFont="1" applyFill="1" applyBorder="1" applyAlignment="1"/>
    <xf numFmtId="164" fontId="28" fillId="2" borderId="10" xfId="8" applyNumberFormat="1" applyFont="1" applyFill="1" applyBorder="1" applyAlignment="1"/>
    <xf numFmtId="164" fontId="28" fillId="2" borderId="70" xfId="8" applyNumberFormat="1" applyFont="1" applyFill="1" applyBorder="1" applyAlignment="1"/>
    <xf numFmtId="0" fontId="28" fillId="2" borderId="10" xfId="8" applyFont="1" applyFill="1" applyBorder="1" applyAlignment="1">
      <alignment horizontal="justify" vertical="top" wrapText="1"/>
    </xf>
    <xf numFmtId="0" fontId="28" fillId="2" borderId="16" xfId="8" applyFont="1" applyFill="1" applyBorder="1" applyAlignment="1">
      <alignment wrapText="1"/>
    </xf>
    <xf numFmtId="10" fontId="28" fillId="2" borderId="10" xfId="8" applyNumberFormat="1" applyFont="1" applyFill="1" applyBorder="1" applyAlignment="1"/>
    <xf numFmtId="168" fontId="28" fillId="2" borderId="10" xfId="8" applyNumberFormat="1" applyFont="1" applyFill="1" applyBorder="1" applyAlignment="1"/>
    <xf numFmtId="10" fontId="28" fillId="2" borderId="70" xfId="8" applyNumberFormat="1" applyFont="1" applyFill="1" applyBorder="1" applyAlignment="1"/>
    <xf numFmtId="0" fontId="28" fillId="2" borderId="10" xfId="8" applyFont="1" applyFill="1" applyBorder="1" applyAlignment="1">
      <alignment horizontal="left" vertical="justify" wrapText="1"/>
    </xf>
    <xf numFmtId="0" fontId="30" fillId="2" borderId="10" xfId="8" applyFont="1" applyFill="1" applyBorder="1" applyAlignment="1">
      <alignment wrapText="1"/>
    </xf>
    <xf numFmtId="0" fontId="29" fillId="2" borderId="72" xfId="8" applyFont="1" applyFill="1" applyBorder="1" applyAlignment="1">
      <alignment horizontal="center" wrapText="1"/>
    </xf>
    <xf numFmtId="0" fontId="28" fillId="2" borderId="73" xfId="8" applyFont="1" applyFill="1" applyBorder="1" applyAlignment="1">
      <alignment wrapText="1"/>
    </xf>
    <xf numFmtId="164" fontId="28" fillId="2" borderId="73" xfId="8" applyNumberFormat="1" applyFont="1" applyFill="1" applyBorder="1" applyAlignment="1"/>
    <xf numFmtId="164" fontId="28" fillId="2" borderId="74" xfId="8" applyNumberFormat="1" applyFont="1" applyFill="1" applyBorder="1" applyAlignment="1"/>
    <xf numFmtId="0" fontId="28" fillId="2" borderId="0" xfId="8" applyFont="1" applyFill="1" applyBorder="1" applyAlignment="1">
      <alignment wrapText="1"/>
    </xf>
    <xf numFmtId="0" fontId="29" fillId="2" borderId="0" xfId="8" applyFont="1" applyFill="1" applyBorder="1" applyAlignment="1">
      <alignment horizontal="center" wrapText="1"/>
    </xf>
    <xf numFmtId="164" fontId="28" fillId="2" borderId="0" xfId="8" applyNumberFormat="1" applyFont="1" applyFill="1" applyBorder="1" applyAlignment="1"/>
    <xf numFmtId="0" fontId="0" fillId="0" borderId="82" xfId="0" applyBorder="1" applyAlignment="1">
      <alignment vertical="center" wrapText="1"/>
    </xf>
    <xf numFmtId="0" fontId="33" fillId="2" borderId="0" xfId="9" applyFont="1" applyFill="1" applyAlignment="1">
      <alignment horizontal="center" vertical="center" wrapText="1"/>
    </xf>
    <xf numFmtId="0" fontId="72" fillId="2" borderId="11" xfId="0" applyFont="1" applyFill="1" applyBorder="1"/>
    <xf numFmtId="0" fontId="0" fillId="0" borderId="85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92" xfId="0" applyBorder="1" applyAlignment="1">
      <alignment vertical="top" wrapText="1"/>
    </xf>
    <xf numFmtId="0" fontId="0" fillId="0" borderId="92" xfId="0" applyBorder="1" applyAlignment="1">
      <alignment vertical="center" wrapText="1"/>
    </xf>
    <xf numFmtId="0" fontId="8" fillId="2" borderId="52" xfId="0" applyFont="1" applyFill="1" applyBorder="1" applyAlignment="1">
      <alignment horizontal="center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0" fillId="0" borderId="83" xfId="0" applyFont="1" applyBorder="1" applyAlignment="1">
      <alignment vertical="center" wrapText="1"/>
    </xf>
    <xf numFmtId="0" fontId="20" fillId="0" borderId="96" xfId="0" applyFont="1" applyBorder="1" applyAlignment="1">
      <alignment vertical="center" wrapText="1"/>
    </xf>
    <xf numFmtId="0" fontId="20" fillId="0" borderId="98" xfId="0" applyFont="1" applyBorder="1" applyAlignment="1">
      <alignment vertical="center" wrapText="1"/>
    </xf>
    <xf numFmtId="0" fontId="80" fillId="0" borderId="0" xfId="0" applyFont="1"/>
    <xf numFmtId="0" fontId="0" fillId="0" borderId="16" xfId="0" applyBorder="1" applyAlignment="1"/>
    <xf numFmtId="0" fontId="18" fillId="0" borderId="10" xfId="0" applyFont="1" applyBorder="1" applyAlignment="1">
      <alignment horizontal="center"/>
    </xf>
    <xf numFmtId="0" fontId="74" fillId="0" borderId="0" xfId="0" applyFont="1" applyAlignment="1">
      <alignment vertical="center"/>
    </xf>
    <xf numFmtId="0" fontId="0" fillId="0" borderId="0" xfId="0" applyFill="1" applyBorder="1" applyAlignment="1">
      <alignment wrapText="1"/>
    </xf>
    <xf numFmtId="169" fontId="34" fillId="2" borderId="10" xfId="0" applyNumberFormat="1" applyFont="1" applyFill="1" applyBorder="1"/>
    <xf numFmtId="0" fontId="81" fillId="2" borderId="10" xfId="0" applyFont="1" applyFill="1" applyBorder="1" applyAlignment="1">
      <alignment horizontal="center" vertical="center"/>
    </xf>
    <xf numFmtId="0" fontId="59" fillId="2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1" fontId="56" fillId="2" borderId="10" xfId="0" applyNumberFormat="1" applyFont="1" applyFill="1" applyBorder="1"/>
    <xf numFmtId="0" fontId="10" fillId="2" borderId="10" xfId="0" applyFont="1" applyFill="1" applyBorder="1"/>
    <xf numFmtId="0" fontId="81" fillId="2" borderId="10" xfId="0" applyFont="1" applyFill="1" applyBorder="1" applyAlignment="1">
      <alignment horizontal="center" wrapText="1"/>
    </xf>
    <xf numFmtId="0" fontId="14" fillId="2" borderId="10" xfId="9" applyFont="1" applyFill="1" applyBorder="1" applyAlignment="1">
      <alignment wrapText="1"/>
    </xf>
    <xf numFmtId="0" fontId="0" fillId="0" borderId="0" xfId="0" applyAlignment="1"/>
    <xf numFmtId="169" fontId="6" fillId="2" borderId="31" xfId="0" applyNumberFormat="1" applyFont="1" applyFill="1" applyBorder="1" applyAlignment="1"/>
    <xf numFmtId="169" fontId="6" fillId="2" borderId="16" xfId="0" applyNumberFormat="1" applyFont="1" applyFill="1" applyBorder="1" applyAlignment="1"/>
    <xf numFmtId="169" fontId="6" fillId="0" borderId="16" xfId="0" applyNumberFormat="1" applyFont="1" applyBorder="1" applyAlignment="1"/>
    <xf numFmtId="169" fontId="48" fillId="0" borderId="21" xfId="0" applyNumberFormat="1" applyFont="1" applyBorder="1" applyAlignment="1"/>
    <xf numFmtId="169" fontId="48" fillId="0" borderId="26" xfId="0" applyNumberFormat="1" applyFont="1" applyBorder="1" applyAlignment="1"/>
    <xf numFmtId="169" fontId="6" fillId="0" borderId="63" xfId="0" applyNumberFormat="1" applyFont="1" applyBorder="1" applyAlignment="1"/>
    <xf numFmtId="169" fontId="6" fillId="0" borderId="56" xfId="0" applyNumberFormat="1" applyFont="1" applyBorder="1" applyAlignment="1"/>
    <xf numFmtId="169" fontId="6" fillId="0" borderId="5" xfId="0" applyNumberFormat="1" applyFont="1" applyBorder="1" applyAlignment="1"/>
    <xf numFmtId="169" fontId="6" fillId="0" borderId="31" xfId="0" applyNumberFormat="1" applyFont="1" applyBorder="1" applyAlignment="1"/>
    <xf numFmtId="169" fontId="6" fillId="0" borderId="10" xfId="0" applyNumberFormat="1" applyFont="1" applyBorder="1" applyAlignment="1"/>
    <xf numFmtId="169" fontId="0" fillId="2" borderId="16" xfId="0" applyNumberFormat="1" applyFill="1" applyBorder="1"/>
    <xf numFmtId="1" fontId="20" fillId="2" borderId="0" xfId="0" applyNumberFormat="1" applyFont="1" applyFill="1" applyBorder="1"/>
    <xf numFmtId="0" fontId="33" fillId="2" borderId="0" xfId="9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0" fontId="12" fillId="0" borderId="100" xfId="0" applyFont="1" applyBorder="1" applyAlignment="1">
      <alignment vertical="center" wrapText="1"/>
    </xf>
    <xf numFmtId="0" fontId="12" fillId="0" borderId="101" xfId="0" applyFont="1" applyBorder="1" applyAlignment="1">
      <alignment vertical="center" wrapText="1"/>
    </xf>
    <xf numFmtId="0" fontId="12" fillId="0" borderId="82" xfId="0" applyFont="1" applyBorder="1" applyAlignment="1">
      <alignment vertical="center" wrapText="1"/>
    </xf>
    <xf numFmtId="0" fontId="0" fillId="0" borderId="82" xfId="0" applyBorder="1" applyAlignment="1">
      <alignment vertical="top" wrapText="1"/>
    </xf>
    <xf numFmtId="0" fontId="12" fillId="0" borderId="83" xfId="0" applyFont="1" applyBorder="1" applyAlignment="1">
      <alignment vertical="center" wrapText="1"/>
    </xf>
    <xf numFmtId="0" fontId="12" fillId="0" borderId="103" xfId="0" applyFont="1" applyBorder="1" applyAlignment="1">
      <alignment vertical="center" wrapText="1"/>
    </xf>
    <xf numFmtId="0" fontId="0" fillId="0" borderId="103" xfId="0" applyBorder="1" applyAlignment="1">
      <alignment vertical="top" wrapText="1"/>
    </xf>
    <xf numFmtId="0" fontId="12" fillId="0" borderId="102" xfId="0" applyFont="1" applyBorder="1" applyAlignment="1">
      <alignment vertical="center" wrapText="1"/>
    </xf>
    <xf numFmtId="0" fontId="49" fillId="0" borderId="103" xfId="0" applyFont="1" applyBorder="1" applyAlignment="1">
      <alignment vertical="center" wrapText="1"/>
    </xf>
    <xf numFmtId="0" fontId="12" fillId="0" borderId="88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92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 indent="4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wrapText="1"/>
    </xf>
    <xf numFmtId="169" fontId="38" fillId="0" borderId="10" xfId="0" applyNumberFormat="1" applyFont="1" applyBorder="1"/>
    <xf numFmtId="0" fontId="27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53" fillId="0" borderId="0" xfId="0" applyFont="1" applyBorder="1" applyAlignment="1">
      <alignment horizontal="center"/>
    </xf>
    <xf numFmtId="0" fontId="16" fillId="0" borderId="0" xfId="0" applyFont="1" applyBorder="1" applyAlignment="1">
      <alignment wrapText="1"/>
    </xf>
    <xf numFmtId="169" fontId="14" fillId="0" borderId="0" xfId="0" applyNumberFormat="1" applyFont="1" applyFill="1" applyBorder="1" applyAlignment="1">
      <alignment horizontal="center"/>
    </xf>
    <xf numFmtId="0" fontId="47" fillId="2" borderId="1" xfId="0" applyFont="1" applyFill="1" applyBorder="1" applyAlignment="1"/>
    <xf numFmtId="0" fontId="14" fillId="2" borderId="16" xfId="0" applyFont="1" applyFill="1" applyBorder="1" applyAlignment="1">
      <alignment horizontal="center"/>
    </xf>
    <xf numFmtId="0" fontId="34" fillId="2" borderId="16" xfId="9" applyFont="1" applyFill="1" applyBorder="1" applyAlignment="1">
      <alignment horizontal="center" vertical="center" wrapText="1"/>
    </xf>
    <xf numFmtId="2" fontId="34" fillId="2" borderId="16" xfId="9" applyNumberFormat="1" applyFont="1" applyFill="1" applyBorder="1" applyAlignment="1">
      <alignment horizontal="center" vertical="center" wrapText="1"/>
    </xf>
    <xf numFmtId="166" fontId="13" fillId="2" borderId="16" xfId="0" applyNumberFormat="1" applyFont="1" applyFill="1" applyBorder="1" applyAlignment="1">
      <alignment horizontal="center" vertical="center" wrapText="1"/>
    </xf>
    <xf numFmtId="166" fontId="35" fillId="2" borderId="16" xfId="9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66" fontId="33" fillId="2" borderId="56" xfId="9" applyNumberFormat="1" applyFont="1" applyFill="1" applyBorder="1" applyAlignment="1">
      <alignment horizontal="center" vertical="center" wrapText="1"/>
    </xf>
    <xf numFmtId="166" fontId="13" fillId="2" borderId="16" xfId="9" applyNumberFormat="1" applyFont="1" applyFill="1" applyBorder="1" applyAlignment="1">
      <alignment horizontal="center" vertical="center" wrapText="1"/>
    </xf>
    <xf numFmtId="0" fontId="0" fillId="0" borderId="12" xfId="0" applyBorder="1"/>
    <xf numFmtId="2" fontId="15" fillId="2" borderId="12" xfId="0" applyNumberFormat="1" applyFont="1" applyFill="1" applyBorder="1"/>
    <xf numFmtId="2" fontId="14" fillId="2" borderId="12" xfId="0" applyNumberFormat="1" applyFont="1" applyFill="1" applyBorder="1"/>
    <xf numFmtId="0" fontId="18" fillId="2" borderId="10" xfId="0" applyFont="1" applyFill="1" applyBorder="1" applyAlignment="1">
      <alignment horizontal="center"/>
    </xf>
    <xf numFmtId="169" fontId="15" fillId="2" borderId="10" xfId="0" applyNumberFormat="1" applyFont="1" applyFill="1" applyBorder="1" applyAlignment="1">
      <alignment horizontal="right" wrapText="1"/>
    </xf>
    <xf numFmtId="2" fontId="0" fillId="2" borderId="10" xfId="0" applyNumberFormat="1" applyFill="1" applyBorder="1"/>
    <xf numFmtId="169" fontId="34" fillId="2" borderId="16" xfId="9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/>
    <xf numFmtId="1" fontId="29" fillId="2" borderId="43" xfId="0" applyNumberFormat="1" applyFont="1" applyFill="1" applyBorder="1" applyAlignment="1">
      <alignment vertical="top" wrapText="1"/>
    </xf>
    <xf numFmtId="0" fontId="68" fillId="0" borderId="10" xfId="0" applyFont="1" applyBorder="1"/>
    <xf numFmtId="0" fontId="68" fillId="0" borderId="10" xfId="0" applyFont="1" applyFill="1" applyBorder="1"/>
    <xf numFmtId="2" fontId="68" fillId="0" borderId="10" xfId="0" applyNumberFormat="1" applyFont="1" applyFill="1" applyBorder="1"/>
    <xf numFmtId="169" fontId="68" fillId="0" borderId="0" xfId="0" applyNumberFormat="1" applyFont="1" applyBorder="1" applyAlignment="1">
      <alignment horizontal="center"/>
    </xf>
    <xf numFmtId="0" fontId="68" fillId="0" borderId="0" xfId="0" applyFont="1" applyBorder="1" applyAlignment="1">
      <alignment horizontal="center" wrapText="1"/>
    </xf>
    <xf numFmtId="169" fontId="74" fillId="0" borderId="0" xfId="0" applyNumberFormat="1" applyFont="1" applyBorder="1" applyAlignment="1">
      <alignment horizontal="center"/>
    </xf>
    <xf numFmtId="0" fontId="84" fillId="0" borderId="0" xfId="0" applyFont="1"/>
    <xf numFmtId="0" fontId="18" fillId="0" borderId="10" xfId="0" applyFont="1" applyBorder="1"/>
    <xf numFmtId="169" fontId="51" fillId="0" borderId="10" xfId="0" applyNumberFormat="1" applyFont="1" applyBorder="1"/>
    <xf numFmtId="0" fontId="25" fillId="2" borderId="0" xfId="0" applyFont="1" applyFill="1"/>
    <xf numFmtId="0" fontId="85" fillId="2" borderId="0" xfId="0" applyFont="1" applyFill="1"/>
    <xf numFmtId="0" fontId="86" fillId="2" borderId="0" xfId="0" applyFont="1" applyFill="1"/>
    <xf numFmtId="1" fontId="85" fillId="2" borderId="0" xfId="0" applyNumberFormat="1" applyFont="1" applyFill="1"/>
    <xf numFmtId="0" fontId="18" fillId="0" borderId="37" xfId="0" applyFont="1" applyFill="1" applyBorder="1"/>
    <xf numFmtId="14" fontId="77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58" fillId="2" borderId="11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20" fillId="2" borderId="10" xfId="0" applyNumberFormat="1" applyFont="1" applyFill="1" applyBorder="1"/>
    <xf numFmtId="1" fontId="20" fillId="2" borderId="59" xfId="0" applyNumberFormat="1" applyFont="1" applyFill="1" applyBorder="1"/>
    <xf numFmtId="0" fontId="20" fillId="2" borderId="61" xfId="0" applyFont="1" applyFill="1" applyBorder="1"/>
    <xf numFmtId="0" fontId="14" fillId="2" borderId="0" xfId="9" applyFont="1" applyFill="1" applyAlignment="1">
      <alignment horizontal="right"/>
    </xf>
    <xf numFmtId="1" fontId="38" fillId="0" borderId="10" xfId="0" applyNumberFormat="1" applyFont="1" applyBorder="1" applyAlignment="1">
      <alignment horizontal="center" vertical="center"/>
    </xf>
    <xf numFmtId="0" fontId="0" fillId="0" borderId="104" xfId="0" applyBorder="1"/>
    <xf numFmtId="0" fontId="0" fillId="0" borderId="105" xfId="0" applyBorder="1"/>
    <xf numFmtId="1" fontId="0" fillId="0" borderId="106" xfId="0" applyNumberFormat="1" applyBorder="1"/>
    <xf numFmtId="169" fontId="0" fillId="0" borderId="106" xfId="0" applyNumberFormat="1" applyBorder="1"/>
    <xf numFmtId="0" fontId="0" fillId="0" borderId="106" xfId="0" applyBorder="1"/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9" fillId="2" borderId="16" xfId="0" applyFont="1" applyFill="1" applyBorder="1" applyAlignment="1"/>
    <xf numFmtId="0" fontId="9" fillId="2" borderId="17" xfId="0" applyFont="1" applyFill="1" applyBorder="1" applyAlignment="1"/>
    <xf numFmtId="0" fontId="9" fillId="2" borderId="18" xfId="0" applyFont="1" applyFill="1" applyBorder="1" applyAlignment="1"/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2" borderId="63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wrapText="1"/>
    </xf>
    <xf numFmtId="0" fontId="9" fillId="2" borderId="64" xfId="0" applyFont="1" applyFill="1" applyBorder="1" applyAlignment="1">
      <alignment horizontal="left" wrapText="1"/>
    </xf>
    <xf numFmtId="0" fontId="6" fillId="2" borderId="63" xfId="0" applyFont="1" applyFill="1" applyBorder="1" applyAlignment="1">
      <alignment horizontal="center" wrapText="1"/>
    </xf>
    <xf numFmtId="0" fontId="6" fillId="2" borderId="64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2" fillId="2" borderId="81" xfId="0" applyFont="1" applyFill="1" applyBorder="1" applyAlignment="1">
      <alignment horizontal="center"/>
    </xf>
    <xf numFmtId="0" fontId="2" fillId="2" borderId="8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2" borderId="63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64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left"/>
    </xf>
    <xf numFmtId="0" fontId="9" fillId="2" borderId="38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9" fillId="2" borderId="56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58" fillId="0" borderId="0" xfId="0" applyNumberFormat="1" applyFont="1" applyFill="1" applyAlignment="1">
      <alignment horizontal="center" wrapText="1"/>
    </xf>
    <xf numFmtId="49" fontId="7" fillId="0" borderId="0" xfId="0" applyNumberFormat="1" applyFont="1" applyFill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9" fontId="9" fillId="0" borderId="40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59" fillId="0" borderId="46" xfId="0" applyFont="1" applyBorder="1" applyAlignment="1">
      <alignment horizontal="center" wrapText="1"/>
    </xf>
    <xf numFmtId="0" fontId="59" fillId="0" borderId="15" xfId="0" applyFont="1" applyBorder="1" applyAlignment="1">
      <alignment horizontal="center" wrapText="1"/>
    </xf>
    <xf numFmtId="0" fontId="59" fillId="0" borderId="24" xfId="0" applyFont="1" applyBorder="1" applyAlignment="1">
      <alignment horizontal="center" wrapText="1"/>
    </xf>
    <xf numFmtId="0" fontId="60" fillId="0" borderId="37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9" fillId="0" borderId="2" xfId="0" applyFont="1" applyBorder="1" applyAlignment="1">
      <alignment horizontal="center" wrapText="1"/>
    </xf>
    <xf numFmtId="0" fontId="59" fillId="0" borderId="30" xfId="0" applyFont="1" applyBorder="1" applyAlignment="1">
      <alignment horizontal="center" wrapText="1"/>
    </xf>
    <xf numFmtId="0" fontId="61" fillId="0" borderId="0" xfId="0" applyFont="1" applyAlignment="1">
      <alignment horizontal="center"/>
    </xf>
    <xf numFmtId="49" fontId="7" fillId="0" borderId="0" xfId="0" applyNumberFormat="1" applyFont="1" applyFill="1" applyAlignment="1">
      <alignment horizont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60" fillId="0" borderId="56" xfId="0" applyFont="1" applyFill="1" applyBorder="1" applyAlignment="1">
      <alignment horizontal="center" wrapText="1"/>
    </xf>
    <xf numFmtId="0" fontId="60" fillId="0" borderId="57" xfId="0" applyFont="1" applyFill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49" fontId="8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49" fontId="64" fillId="2" borderId="10" xfId="0" applyNumberFormat="1" applyFont="1" applyFill="1" applyBorder="1" applyAlignment="1">
      <alignment horizontal="center" vertical="center" wrapText="1"/>
    </xf>
    <xf numFmtId="0" fontId="74" fillId="0" borderId="0" xfId="0" applyFont="1" applyBorder="1" applyAlignment="1">
      <alignment horizontal="center" wrapText="1"/>
    </xf>
    <xf numFmtId="49" fontId="64" fillId="2" borderId="56" xfId="0" applyNumberFormat="1" applyFont="1" applyFill="1" applyBorder="1" applyAlignment="1">
      <alignment horizontal="center" vertical="center" wrapText="1"/>
    </xf>
    <xf numFmtId="49" fontId="64" fillId="2" borderId="57" xfId="0" applyNumberFormat="1" applyFont="1" applyFill="1" applyBorder="1" applyAlignment="1">
      <alignment horizontal="center" vertical="center" wrapText="1"/>
    </xf>
    <xf numFmtId="49" fontId="64" fillId="2" borderId="58" xfId="0" applyNumberFormat="1" applyFont="1" applyFill="1" applyBorder="1" applyAlignment="1">
      <alignment horizontal="center" vertical="center" wrapText="1"/>
    </xf>
    <xf numFmtId="49" fontId="64" fillId="2" borderId="31" xfId="0" applyNumberFormat="1" applyFont="1" applyFill="1" applyBorder="1" applyAlignment="1">
      <alignment horizontal="center" vertical="center" wrapText="1"/>
    </xf>
    <xf numFmtId="49" fontId="64" fillId="2" borderId="52" xfId="0" applyNumberFormat="1" applyFont="1" applyFill="1" applyBorder="1" applyAlignment="1">
      <alignment horizontal="center" vertical="center" wrapText="1"/>
    </xf>
    <xf numFmtId="49" fontId="64" fillId="2" borderId="53" xfId="0" applyNumberFormat="1" applyFont="1" applyFill="1" applyBorder="1" applyAlignment="1">
      <alignment horizontal="center" vertical="center" wrapText="1"/>
    </xf>
    <xf numFmtId="0" fontId="80" fillId="0" borderId="0" xfId="0" applyFont="1" applyBorder="1" applyAlignment="1">
      <alignment horizontal="center" wrapText="1"/>
    </xf>
    <xf numFmtId="0" fontId="62" fillId="0" borderId="0" xfId="0" applyFont="1" applyAlignment="1">
      <alignment horizontal="center" wrapText="1"/>
    </xf>
    <xf numFmtId="49" fontId="64" fillId="0" borderId="0" xfId="0" applyNumberFormat="1" applyFont="1" applyFill="1" applyAlignment="1">
      <alignment horizontal="center" wrapText="1"/>
    </xf>
    <xf numFmtId="49" fontId="65" fillId="0" borderId="2" xfId="0" applyNumberFormat="1" applyFont="1" applyFill="1" applyBorder="1" applyAlignment="1">
      <alignment horizontal="center" vertical="center" wrapText="1"/>
    </xf>
    <xf numFmtId="49" fontId="65" fillId="0" borderId="30" xfId="0" applyNumberFormat="1" applyFont="1" applyFill="1" applyBorder="1" applyAlignment="1">
      <alignment horizontal="center" vertical="center" wrapText="1"/>
    </xf>
    <xf numFmtId="49" fontId="65" fillId="0" borderId="42" xfId="0" applyNumberFormat="1" applyFont="1" applyFill="1" applyBorder="1" applyAlignment="1">
      <alignment horizontal="center" vertical="center" wrapText="1"/>
    </xf>
    <xf numFmtId="49" fontId="65" fillId="0" borderId="40" xfId="0" applyNumberFormat="1" applyFont="1" applyFill="1" applyBorder="1" applyAlignment="1">
      <alignment horizontal="center" vertical="center" wrapText="1"/>
    </xf>
    <xf numFmtId="49" fontId="65" fillId="0" borderId="41" xfId="0" applyNumberFormat="1" applyFont="1" applyFill="1" applyBorder="1" applyAlignment="1">
      <alignment horizontal="center" vertical="center" wrapText="1"/>
    </xf>
    <xf numFmtId="49" fontId="65" fillId="0" borderId="8" xfId="0" applyNumberFormat="1" applyFont="1" applyFill="1" applyBorder="1" applyAlignment="1">
      <alignment horizontal="center" vertical="center" wrapText="1"/>
    </xf>
    <xf numFmtId="0" fontId="65" fillId="0" borderId="2" xfId="0" applyFont="1" applyFill="1" applyBorder="1" applyAlignment="1">
      <alignment horizontal="center" vertical="center" wrapText="1"/>
    </xf>
    <xf numFmtId="0" fontId="65" fillId="0" borderId="30" xfId="0" applyFont="1" applyFill="1" applyBorder="1" applyAlignment="1">
      <alignment horizontal="center" vertical="center" wrapText="1"/>
    </xf>
    <xf numFmtId="0" fontId="65" fillId="0" borderId="42" xfId="0" applyFont="1" applyFill="1" applyBorder="1" applyAlignment="1">
      <alignment horizontal="center" vertical="center" wrapText="1"/>
    </xf>
    <xf numFmtId="0" fontId="66" fillId="0" borderId="45" xfId="0" applyFont="1" applyBorder="1" applyAlignment="1">
      <alignment horizontal="center" wrapText="1"/>
    </xf>
    <xf numFmtId="0" fontId="66" fillId="0" borderId="10" xfId="0" applyFont="1" applyBorder="1" applyAlignment="1">
      <alignment horizontal="center" wrapText="1"/>
    </xf>
    <xf numFmtId="0" fontId="66" fillId="0" borderId="47" xfId="0" applyFont="1" applyBorder="1" applyAlignment="1">
      <alignment horizontal="center" wrapText="1"/>
    </xf>
    <xf numFmtId="0" fontId="66" fillId="0" borderId="46" xfId="0" applyFont="1" applyBorder="1" applyAlignment="1">
      <alignment horizontal="center" wrapText="1"/>
    </xf>
    <xf numFmtId="0" fontId="66" fillId="0" borderId="15" xfId="0" applyFont="1" applyBorder="1" applyAlignment="1">
      <alignment horizontal="center" wrapText="1"/>
    </xf>
    <xf numFmtId="0" fontId="66" fillId="0" borderId="48" xfId="0" applyFont="1" applyBorder="1" applyAlignment="1">
      <alignment horizontal="center" wrapText="1"/>
    </xf>
    <xf numFmtId="0" fontId="63" fillId="0" borderId="10" xfId="0" applyFont="1" applyBorder="1" applyAlignment="1">
      <alignment horizontal="center" vertical="center"/>
    </xf>
    <xf numFmtId="49" fontId="65" fillId="2" borderId="16" xfId="0" applyNumberFormat="1" applyFont="1" applyFill="1" applyBorder="1" applyAlignment="1">
      <alignment horizontal="center" vertical="center" wrapText="1"/>
    </xf>
    <xf numFmtId="49" fontId="65" fillId="2" borderId="18" xfId="0" applyNumberFormat="1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center"/>
    </xf>
    <xf numFmtId="14" fontId="63" fillId="0" borderId="10" xfId="0" applyNumberFormat="1" applyFont="1" applyBorder="1" applyAlignment="1">
      <alignment horizontal="center" vertical="center"/>
    </xf>
    <xf numFmtId="49" fontId="65" fillId="2" borderId="57" xfId="0" applyNumberFormat="1" applyFont="1" applyFill="1" applyBorder="1" applyAlignment="1">
      <alignment horizontal="center" vertical="center" wrapText="1"/>
    </xf>
    <xf numFmtId="49" fontId="65" fillId="2" borderId="0" xfId="0" applyNumberFormat="1" applyFont="1" applyFill="1" applyBorder="1" applyAlignment="1">
      <alignment horizontal="center" vertical="center" wrapText="1"/>
    </xf>
    <xf numFmtId="49" fontId="65" fillId="2" borderId="52" xfId="0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49" fontId="64" fillId="0" borderId="0" xfId="0" applyNumberFormat="1" applyFont="1" applyFill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9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9" fillId="2" borderId="23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/>
    </xf>
    <xf numFmtId="0" fontId="6" fillId="2" borderId="6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6" fillId="2" borderId="4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49" fontId="0" fillId="0" borderId="14" xfId="0" applyNumberFormat="1" applyBorder="1" applyAlignment="1">
      <alignment vertical="top"/>
    </xf>
    <xf numFmtId="49" fontId="0" fillId="0" borderId="10" xfId="0" applyNumberFormat="1" applyBorder="1" applyAlignment="1">
      <alignment vertical="top" wrapText="1"/>
    </xf>
    <xf numFmtId="0" fontId="22" fillId="10" borderId="0" xfId="2" applyFont="1" applyFill="1" applyAlignment="1">
      <alignment horizontal="center" vertical="center" wrapText="1"/>
    </xf>
    <xf numFmtId="0" fontId="22" fillId="10" borderId="1" xfId="2" applyFont="1" applyFill="1" applyBorder="1" applyAlignment="1">
      <alignment horizontal="center" vertical="center" wrapText="1"/>
    </xf>
    <xf numFmtId="0" fontId="23" fillId="0" borderId="44" xfId="3" applyBorder="1">
      <alignment horizontal="center" vertical="center" wrapText="1"/>
    </xf>
    <xf numFmtId="0" fontId="23" fillId="0" borderId="14" xfId="3" applyBorder="1">
      <alignment horizontal="center" vertical="center" wrapText="1"/>
    </xf>
    <xf numFmtId="0" fontId="23" fillId="0" borderId="45" xfId="3" applyBorder="1" applyAlignment="1">
      <alignment horizontal="center" vertical="center" wrapText="1"/>
    </xf>
    <xf numFmtId="0" fontId="23" fillId="0" borderId="10" xfId="3" applyBorder="1" applyAlignment="1">
      <alignment horizontal="center" vertical="center" wrapText="1"/>
    </xf>
    <xf numFmtId="0" fontId="23" fillId="0" borderId="45" xfId="3" applyBorder="1">
      <alignment horizontal="center" vertical="center" wrapText="1"/>
    </xf>
    <xf numFmtId="0" fontId="23" fillId="0" borderId="10" xfId="3" applyBorder="1">
      <alignment horizontal="center" vertical="center" wrapText="1"/>
    </xf>
    <xf numFmtId="0" fontId="0" fillId="10" borderId="0" xfId="0" applyFill="1" applyAlignment="1">
      <alignment horizontal="center"/>
    </xf>
    <xf numFmtId="49" fontId="0" fillId="0" borderId="14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 wrapText="1"/>
    </xf>
    <xf numFmtId="49" fontId="0" fillId="0" borderId="10" xfId="0" applyNumberFormat="1" applyBorder="1" applyAlignment="1">
      <alignment horizontal="center" vertical="top" wrapText="1"/>
    </xf>
    <xf numFmtId="49" fontId="0" fillId="0" borderId="19" xfId="0" applyNumberFormat="1" applyBorder="1" applyAlignment="1">
      <alignment vertical="top"/>
    </xf>
    <xf numFmtId="49" fontId="23" fillId="0" borderId="10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top"/>
    </xf>
    <xf numFmtId="49" fontId="0" fillId="0" borderId="47" xfId="0" applyNumberFormat="1" applyBorder="1" applyAlignment="1">
      <alignment horizontal="center" vertical="top"/>
    </xf>
    <xf numFmtId="49" fontId="18" fillId="0" borderId="14" xfId="0" applyNumberFormat="1" applyFont="1" applyBorder="1" applyAlignment="1">
      <alignment vertical="top"/>
    </xf>
    <xf numFmtId="49" fontId="18" fillId="0" borderId="10" xfId="0" applyNumberFormat="1" applyFont="1" applyBorder="1" applyAlignment="1">
      <alignment vertical="top"/>
    </xf>
    <xf numFmtId="0" fontId="69" fillId="0" borderId="44" xfId="3" applyFont="1" applyBorder="1">
      <alignment horizontal="center" vertical="center" wrapText="1"/>
    </xf>
    <xf numFmtId="0" fontId="69" fillId="0" borderId="14" xfId="3" applyFont="1" applyBorder="1">
      <alignment horizontal="center" vertical="center" wrapText="1"/>
    </xf>
    <xf numFmtId="0" fontId="70" fillId="0" borderId="45" xfId="3" applyFont="1" applyBorder="1">
      <alignment horizontal="center" vertical="center" wrapText="1"/>
    </xf>
    <xf numFmtId="0" fontId="70" fillId="0" borderId="10" xfId="3" applyFont="1" applyBorder="1">
      <alignment horizontal="center" vertical="center" wrapText="1"/>
    </xf>
    <xf numFmtId="0" fontId="25" fillId="2" borderId="0" xfId="7" applyNumberFormat="1" applyFont="1" applyFill="1" applyBorder="1" applyAlignment="1" applyProtection="1">
      <alignment horizontal="center" vertical="center" wrapText="1"/>
    </xf>
    <xf numFmtId="0" fontId="28" fillId="2" borderId="75" xfId="8" applyNumberFormat="1" applyFont="1" applyFill="1" applyBorder="1" applyAlignment="1" applyProtection="1">
      <alignment horizontal="center" vertical="top"/>
    </xf>
    <xf numFmtId="0" fontId="28" fillId="2" borderId="69" xfId="8" applyNumberFormat="1" applyFont="1" applyFill="1" applyBorder="1" applyAlignment="1" applyProtection="1">
      <alignment horizontal="center" vertical="top"/>
    </xf>
    <xf numFmtId="0" fontId="28" fillId="2" borderId="76" xfId="8" applyNumberFormat="1" applyFont="1" applyFill="1" applyBorder="1" applyAlignment="1" applyProtection="1">
      <alignment horizontal="center" vertical="center" wrapText="1"/>
    </xf>
    <xf numFmtId="0" fontId="28" fillId="2" borderId="11" xfId="8" applyNumberFormat="1" applyFont="1" applyFill="1" applyBorder="1" applyAlignment="1" applyProtection="1">
      <alignment horizontal="center" vertical="center" wrapText="1"/>
    </xf>
    <xf numFmtId="0" fontId="28" fillId="2" borderId="77" xfId="8" applyNumberFormat="1" applyFont="1" applyFill="1" applyBorder="1" applyAlignment="1" applyProtection="1">
      <alignment horizontal="center" vertical="center" wrapText="1"/>
    </xf>
    <xf numFmtId="0" fontId="28" fillId="2" borderId="78" xfId="8" applyNumberFormat="1" applyFont="1" applyFill="1" applyBorder="1" applyAlignment="1" applyProtection="1">
      <alignment horizontal="center" vertical="center" wrapText="1"/>
    </xf>
    <xf numFmtId="0" fontId="28" fillId="2" borderId="79" xfId="8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Alignment="1">
      <alignment horizontal="center"/>
    </xf>
    <xf numFmtId="0" fontId="13" fillId="0" borderId="40" xfId="0" applyFont="1" applyBorder="1" applyAlignment="1">
      <alignment vertical="top" wrapText="1"/>
    </xf>
    <xf numFmtId="0" fontId="13" fillId="0" borderId="41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40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33" fillId="0" borderId="40" xfId="0" applyFont="1" applyBorder="1" applyAlignment="1">
      <alignment vertical="top" wrapText="1"/>
    </xf>
    <xf numFmtId="0" fontId="33" fillId="0" borderId="41" xfId="0" applyFont="1" applyBorder="1" applyAlignment="1">
      <alignment vertical="top" wrapText="1"/>
    </xf>
    <xf numFmtId="0" fontId="33" fillId="0" borderId="8" xfId="0" applyFont="1" applyBorder="1" applyAlignment="1">
      <alignment vertical="top" wrapText="1"/>
    </xf>
    <xf numFmtId="9" fontId="14" fillId="0" borderId="0" xfId="0" applyNumberFormat="1" applyFont="1" applyBorder="1" applyAlignment="1">
      <alignment horizontal="justify" vertical="top" wrapText="1"/>
    </xf>
    <xf numFmtId="0" fontId="14" fillId="0" borderId="29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40" xfId="0" applyFont="1" applyBorder="1" applyAlignment="1">
      <alignment horizontal="justify" vertical="top" wrapText="1"/>
    </xf>
    <xf numFmtId="0" fontId="14" fillId="0" borderId="8" xfId="0" applyFont="1" applyBorder="1" applyAlignment="1">
      <alignment horizontal="justify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1" fontId="14" fillId="0" borderId="40" xfId="0" applyNumberFormat="1" applyFont="1" applyBorder="1" applyAlignment="1">
      <alignment horizontal="justify" vertical="top" wrapText="1"/>
    </xf>
    <xf numFmtId="1" fontId="14" fillId="0" borderId="8" xfId="0" applyNumberFormat="1" applyFont="1" applyBorder="1" applyAlignment="1">
      <alignment horizontal="justify" vertical="top" wrapText="1"/>
    </xf>
    <xf numFmtId="0" fontId="49" fillId="2" borderId="16" xfId="0" applyFont="1" applyFill="1" applyBorder="1" applyAlignment="1">
      <alignment horizontal="center" wrapText="1"/>
    </xf>
    <xf numFmtId="0" fontId="49" fillId="2" borderId="17" xfId="0" applyFont="1" applyFill="1" applyBorder="1" applyAlignment="1">
      <alignment horizontal="center" wrapText="1"/>
    </xf>
    <xf numFmtId="0" fontId="49" fillId="2" borderId="18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73" fillId="2" borderId="0" xfId="0" applyFont="1" applyFill="1" applyAlignment="1">
      <alignment horizontal="center"/>
    </xf>
    <xf numFmtId="0" fontId="72" fillId="2" borderId="31" xfId="0" applyFont="1" applyFill="1" applyBorder="1" applyAlignment="1">
      <alignment horizontal="left" wrapText="1"/>
    </xf>
    <xf numFmtId="0" fontId="72" fillId="2" borderId="52" xfId="0" applyFont="1" applyFill="1" applyBorder="1" applyAlignment="1">
      <alignment horizontal="left" wrapText="1"/>
    </xf>
    <xf numFmtId="0" fontId="0" fillId="0" borderId="87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1" fillId="0" borderId="87" xfId="0" applyFont="1" applyBorder="1" applyAlignment="1">
      <alignment vertical="center" wrapText="1"/>
    </xf>
    <xf numFmtId="0" fontId="1" fillId="0" borderId="91" xfId="0" applyFont="1" applyBorder="1" applyAlignment="1">
      <alignment vertical="center" wrapText="1"/>
    </xf>
    <xf numFmtId="0" fontId="82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20" fillId="0" borderId="9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2" fillId="0" borderId="84" xfId="0" applyFont="1" applyBorder="1" applyAlignment="1">
      <alignment vertical="center" wrapText="1"/>
    </xf>
    <xf numFmtId="0" fontId="12" fillId="0" borderId="82" xfId="0" applyFont="1" applyBorder="1" applyAlignment="1">
      <alignment vertical="center" wrapText="1"/>
    </xf>
    <xf numFmtId="0" fontId="12" fillId="0" borderId="10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86" xfId="0" applyFont="1" applyBorder="1" applyAlignment="1">
      <alignment vertical="center" wrapText="1"/>
    </xf>
    <xf numFmtId="0" fontId="12" fillId="0" borderId="89" xfId="0" applyFont="1" applyBorder="1" applyAlignment="1">
      <alignment vertical="center" wrapText="1"/>
    </xf>
    <xf numFmtId="0" fontId="12" fillId="0" borderId="90" xfId="0" applyFont="1" applyBorder="1" applyAlignment="1">
      <alignment vertical="center" wrapText="1"/>
    </xf>
    <xf numFmtId="0" fontId="12" fillId="0" borderId="87" xfId="0" applyFont="1" applyBorder="1" applyAlignment="1">
      <alignment vertical="center" wrapText="1"/>
    </xf>
    <xf numFmtId="0" fontId="12" fillId="0" borderId="91" xfId="0" applyFont="1" applyBorder="1" applyAlignment="1">
      <alignment vertical="center" wrapText="1"/>
    </xf>
    <xf numFmtId="2" fontId="15" fillId="2" borderId="12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wrapText="1"/>
    </xf>
    <xf numFmtId="0" fontId="34" fillId="2" borderId="56" xfId="9" applyFont="1" applyFill="1" applyBorder="1" applyAlignment="1">
      <alignment horizontal="center" vertical="center" wrapText="1"/>
    </xf>
    <xf numFmtId="0" fontId="34" fillId="2" borderId="31" xfId="9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33" fillId="2" borderId="0" xfId="9" applyFont="1" applyFill="1" applyAlignment="1">
      <alignment horizontal="center" vertical="center" wrapText="1"/>
    </xf>
    <xf numFmtId="0" fontId="34" fillId="2" borderId="23" xfId="9" applyFont="1" applyFill="1" applyBorder="1" applyAlignment="1">
      <alignment horizontal="center" vertical="center" wrapText="1"/>
    </xf>
    <xf numFmtId="0" fontId="34" fillId="2" borderId="11" xfId="9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wrapText="1"/>
    </xf>
    <xf numFmtId="0" fontId="78" fillId="2" borderId="23" xfId="0" applyFont="1" applyFill="1" applyBorder="1" applyAlignment="1">
      <alignment horizontal="center" vertical="center" wrapText="1"/>
    </xf>
    <xf numFmtId="0" fontId="78" fillId="2" borderId="37" xfId="0" applyFont="1" applyFill="1" applyBorder="1" applyAlignment="1">
      <alignment horizontal="center" vertical="center" wrapText="1"/>
    </xf>
    <xf numFmtId="0" fontId="78" fillId="2" borderId="1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77" fillId="2" borderId="10" xfId="0" applyFont="1" applyFill="1" applyBorder="1" applyAlignment="1">
      <alignment vertical="center"/>
    </xf>
    <xf numFmtId="0" fontId="77" fillId="2" borderId="10" xfId="0" applyFont="1" applyFill="1" applyBorder="1" applyAlignment="1">
      <alignment wrapText="1"/>
    </xf>
    <xf numFmtId="0" fontId="77" fillId="2" borderId="10" xfId="0" applyFont="1" applyFill="1" applyBorder="1" applyAlignment="1">
      <alignment horizontal="center"/>
    </xf>
    <xf numFmtId="0" fontId="76" fillId="2" borderId="0" xfId="0" applyFont="1" applyFill="1" applyAlignment="1">
      <alignment horizontal="center" vertical="center" wrapText="1"/>
    </xf>
    <xf numFmtId="0" fontId="77" fillId="2" borderId="23" xfId="0" applyFont="1" applyFill="1" applyBorder="1" applyAlignment="1">
      <alignment horizontal="center" vertical="center"/>
    </xf>
    <xf numFmtId="0" fontId="77" fillId="2" borderId="3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77" fillId="2" borderId="23" xfId="0" applyFont="1" applyFill="1" applyBorder="1" applyAlignment="1">
      <alignment horizontal="center" vertical="center" wrapText="1"/>
    </xf>
    <xf numFmtId="0" fontId="77" fillId="2" borderId="37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top" wrapText="1"/>
    </xf>
    <xf numFmtId="0" fontId="28" fillId="0" borderId="10" xfId="0" applyFont="1" applyBorder="1" applyAlignment="1">
      <alignment horizontal="center"/>
    </xf>
    <xf numFmtId="0" fontId="28" fillId="2" borderId="10" xfId="0" applyFont="1" applyFill="1" applyBorder="1" applyAlignment="1">
      <alignment horizontal="center" vertical="top" wrapText="1"/>
    </xf>
    <xf numFmtId="0" fontId="28" fillId="2" borderId="10" xfId="0" applyFont="1" applyFill="1" applyBorder="1" applyAlignment="1">
      <alignment vertical="top" wrapText="1"/>
    </xf>
    <xf numFmtId="0" fontId="28" fillId="0" borderId="2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9" fillId="2" borderId="62" xfId="9" applyFont="1" applyFill="1" applyBorder="1" applyAlignment="1">
      <alignment horizontal="center" vertical="center" wrapText="1"/>
    </xf>
    <xf numFmtId="0" fontId="39" fillId="2" borderId="11" xfId="9" applyFont="1" applyFill="1" applyBorder="1" applyAlignment="1">
      <alignment horizontal="center" vertical="center" wrapText="1"/>
    </xf>
    <xf numFmtId="0" fontId="38" fillId="2" borderId="52" xfId="0" applyFont="1" applyFill="1" applyBorder="1" applyAlignment="1">
      <alignment horizontal="center" vertical="top" wrapText="1"/>
    </xf>
    <xf numFmtId="0" fontId="39" fillId="2" borderId="1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top" wrapText="1"/>
    </xf>
    <xf numFmtId="0" fontId="39" fillId="2" borderId="5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41" fillId="2" borderId="52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169" fontId="45" fillId="9" borderId="0" xfId="0" applyNumberFormat="1" applyFont="1" applyFill="1" applyAlignment="1">
      <alignment horizontal="center" vertical="center" wrapText="1"/>
    </xf>
    <xf numFmtId="169" fontId="0" fillId="3" borderId="0" xfId="0" applyNumberFormat="1" applyFill="1" applyAlignment="1">
      <alignment horizontal="left" vertical="center" wrapText="1"/>
    </xf>
    <xf numFmtId="169" fontId="2" fillId="9" borderId="0" xfId="0" applyNumberFormat="1" applyFont="1" applyFill="1" applyAlignment="1">
      <alignment horizontal="center" vertical="center" wrapText="1"/>
    </xf>
    <xf numFmtId="169" fontId="4" fillId="9" borderId="0" xfId="0" applyNumberFormat="1" applyFont="1" applyFill="1" applyAlignment="1">
      <alignment horizontal="center" vertical="center" wrapText="1"/>
    </xf>
    <xf numFmtId="169" fontId="9" fillId="3" borderId="0" xfId="0" applyNumberFormat="1" applyFont="1" applyFill="1" applyAlignment="1">
      <alignment horizontal="center" vertical="center" wrapText="1"/>
    </xf>
    <xf numFmtId="169" fontId="9" fillId="2" borderId="10" xfId="0" applyNumberFormat="1" applyFont="1" applyFill="1" applyBorder="1" applyAlignment="1">
      <alignment horizontal="center" vertical="center" wrapText="1"/>
    </xf>
    <xf numFmtId="169" fontId="9" fillId="3" borderId="16" xfId="0" applyNumberFormat="1" applyFont="1" applyFill="1" applyBorder="1" applyAlignment="1">
      <alignment horizontal="center" vertical="center" wrapText="1"/>
    </xf>
    <xf numFmtId="169" fontId="9" fillId="3" borderId="18" xfId="0" applyNumberFormat="1" applyFont="1" applyFill="1" applyBorder="1" applyAlignment="1">
      <alignment horizontal="center" vertical="center" wrapText="1"/>
    </xf>
    <xf numFmtId="169" fontId="9" fillId="2" borderId="10" xfId="0" applyNumberFormat="1" applyFont="1" applyFill="1" applyBorder="1" applyAlignment="1">
      <alignment horizontal="left" vertical="center" wrapText="1"/>
    </xf>
    <xf numFmtId="169" fontId="9" fillId="2" borderId="16" xfId="0" applyNumberFormat="1" applyFont="1" applyFill="1" applyBorder="1" applyAlignment="1">
      <alignment horizontal="left" vertical="center" wrapText="1"/>
    </xf>
    <xf numFmtId="169" fontId="9" fillId="2" borderId="18" xfId="0" applyNumberFormat="1" applyFont="1" applyFill="1" applyBorder="1" applyAlignment="1">
      <alignment horizontal="left" vertical="center" wrapText="1"/>
    </xf>
    <xf numFmtId="169" fontId="9" fillId="3" borderId="0" xfId="0" applyNumberFormat="1" applyFont="1" applyFill="1" applyBorder="1" applyAlignment="1">
      <alignment horizontal="center" vertical="center" wrapText="1"/>
    </xf>
    <xf numFmtId="169" fontId="8" fillId="3" borderId="0" xfId="0" applyNumberFormat="1" applyFont="1" applyFill="1" applyAlignment="1">
      <alignment horizontal="center" vertical="center" wrapText="1"/>
    </xf>
    <xf numFmtId="169" fontId="9" fillId="3" borderId="56" xfId="0" applyNumberFormat="1" applyFont="1" applyFill="1" applyBorder="1" applyAlignment="1">
      <alignment horizontal="center" vertical="center" wrapText="1"/>
    </xf>
    <xf numFmtId="169" fontId="9" fillId="3" borderId="58" xfId="0" applyNumberFormat="1" applyFont="1" applyFill="1" applyBorder="1" applyAlignment="1">
      <alignment horizontal="center" vertical="center" wrapText="1"/>
    </xf>
    <xf numFmtId="169" fontId="8" fillId="3" borderId="0" xfId="0" applyNumberFormat="1" applyFont="1" applyFill="1" applyAlignment="1">
      <alignment horizontal="left" vertical="center" wrapText="1"/>
    </xf>
    <xf numFmtId="169" fontId="9" fillId="3" borderId="23" xfId="0" applyNumberFormat="1" applyFont="1" applyFill="1" applyBorder="1" applyAlignment="1">
      <alignment horizontal="left" vertical="center" wrapText="1"/>
    </xf>
    <xf numFmtId="169" fontId="9" fillId="3" borderId="17" xfId="0" applyNumberFormat="1" applyFont="1" applyFill="1" applyBorder="1" applyAlignment="1">
      <alignment horizontal="center" vertical="center" wrapText="1"/>
    </xf>
    <xf numFmtId="169" fontId="8" fillId="2" borderId="16" xfId="0" applyNumberFormat="1" applyFont="1" applyFill="1" applyBorder="1" applyAlignment="1">
      <alignment horizontal="center" vertical="center" wrapText="1"/>
    </xf>
    <xf numFmtId="169" fontId="8" fillId="3" borderId="18" xfId="0" applyNumberFormat="1" applyFont="1" applyFill="1" applyBorder="1" applyAlignment="1">
      <alignment horizontal="center" vertical="center" wrapText="1"/>
    </xf>
    <xf numFmtId="169" fontId="46" fillId="3" borderId="0" xfId="0" applyNumberFormat="1" applyFont="1" applyFill="1" applyAlignment="1">
      <alignment horizontal="center" vertical="center" wrapText="1"/>
    </xf>
    <xf numFmtId="169" fontId="9" fillId="3" borderId="57" xfId="0" applyNumberFormat="1" applyFont="1" applyFill="1" applyBorder="1" applyAlignment="1">
      <alignment horizontal="center" vertical="center" wrapText="1"/>
    </xf>
    <xf numFmtId="169" fontId="9" fillId="3" borderId="31" xfId="0" applyNumberFormat="1" applyFont="1" applyFill="1" applyBorder="1" applyAlignment="1">
      <alignment horizontal="center" vertical="center" wrapText="1"/>
    </xf>
    <xf numFmtId="169" fontId="9" fillId="3" borderId="52" xfId="0" applyNumberFormat="1" applyFont="1" applyFill="1" applyBorder="1" applyAlignment="1">
      <alignment horizontal="center" vertical="center" wrapText="1"/>
    </xf>
    <xf numFmtId="169" fontId="9" fillId="3" borderId="53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0" fontId="47" fillId="2" borderId="30" xfId="0" applyFont="1" applyFill="1" applyBorder="1" applyAlignment="1">
      <alignment horizontal="center"/>
    </xf>
    <xf numFmtId="0" fontId="47" fillId="2" borderId="0" xfId="0" applyFont="1" applyFill="1" applyBorder="1" applyAlignment="1">
      <alignment horizontal="center"/>
    </xf>
    <xf numFmtId="0" fontId="47" fillId="2" borderId="42" xfId="0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wrapText="1"/>
    </xf>
    <xf numFmtId="0" fontId="6" fillId="2" borderId="1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6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23" xfId="0" applyFont="1" applyBorder="1" applyAlignment="1">
      <alignment horizontal="left" wrapText="1"/>
    </xf>
    <xf numFmtId="0" fontId="6" fillId="0" borderId="56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48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11" xfId="0" applyFont="1" applyBorder="1" applyAlignment="1">
      <alignment horizontal="left" wrapText="1"/>
    </xf>
    <xf numFmtId="0" fontId="6" fillId="0" borderId="31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47" fillId="2" borderId="2" xfId="0" applyFont="1" applyFill="1" applyBorder="1" applyAlignment="1">
      <alignment horizontal="center"/>
    </xf>
    <xf numFmtId="0" fontId="47" fillId="2" borderId="26" xfId="0" applyFont="1" applyFill="1" applyBorder="1" applyAlignment="1">
      <alignment horizontal="center"/>
    </xf>
    <xf numFmtId="0" fontId="47" fillId="2" borderId="29" xfId="0" applyFont="1" applyFill="1" applyBorder="1" applyAlignment="1">
      <alignment horizontal="center"/>
    </xf>
    <xf numFmtId="0" fontId="47" fillId="2" borderId="27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10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164" fontId="12" fillId="0" borderId="10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 wrapText="1"/>
    </xf>
    <xf numFmtId="0" fontId="12" fillId="0" borderId="18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0" fillId="2" borderId="54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2" fillId="0" borderId="10" xfId="0" applyFont="1" applyBorder="1" applyAlignment="1">
      <alignment horizontal="center" vertical="center" wrapText="1"/>
    </xf>
    <xf numFmtId="0" fontId="12" fillId="2" borderId="14" xfId="0" applyFont="1" applyFill="1" applyBorder="1" applyAlignment="1"/>
    <xf numFmtId="0" fontId="12" fillId="2" borderId="10" xfId="0" applyFont="1" applyFill="1" applyBorder="1" applyAlignment="1"/>
    <xf numFmtId="164" fontId="12" fillId="0" borderId="15" xfId="0" applyNumberFormat="1" applyFont="1" applyBorder="1" applyAlignment="1">
      <alignment horizontal="center"/>
    </xf>
    <xf numFmtId="0" fontId="13" fillId="0" borderId="2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2" fillId="0" borderId="10" xfId="0" applyNumberFormat="1" applyFont="1" applyBorder="1" applyAlignment="1">
      <alignment horizontal="center" wrapText="1"/>
    </xf>
    <xf numFmtId="0" fontId="12" fillId="2" borderId="54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12" fillId="0" borderId="14" xfId="0" applyFont="1" applyFill="1" applyBorder="1" applyAlignment="1"/>
    <xf numFmtId="0" fontId="12" fillId="0" borderId="10" xfId="0" applyFont="1" applyFill="1" applyBorder="1" applyAlignment="1"/>
    <xf numFmtId="164" fontId="12" fillId="2" borderId="10" xfId="0" applyNumberFormat="1" applyFont="1" applyFill="1" applyBorder="1" applyAlignment="1">
      <alignment horizontal="center"/>
    </xf>
    <xf numFmtId="164" fontId="12" fillId="2" borderId="15" xfId="0" applyNumberFormat="1" applyFont="1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164" fontId="49" fillId="2" borderId="16" xfId="0" applyNumberFormat="1" applyFont="1" applyFill="1" applyBorder="1" applyAlignment="1">
      <alignment horizontal="center"/>
    </xf>
    <xf numFmtId="164" fontId="49" fillId="2" borderId="17" xfId="0" applyNumberFormat="1" applyFont="1" applyFill="1" applyBorder="1" applyAlignment="1">
      <alignment horizontal="center"/>
    </xf>
    <xf numFmtId="164" fontId="49" fillId="2" borderId="18" xfId="0" applyNumberFormat="1" applyFont="1" applyFill="1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164" fontId="13" fillId="0" borderId="26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50" fillId="0" borderId="65" xfId="0" applyFont="1" applyBorder="1" applyAlignment="1">
      <alignment horizontal="center" wrapText="1"/>
    </xf>
    <xf numFmtId="0" fontId="50" fillId="0" borderId="7" xfId="0" applyFont="1" applyBorder="1" applyAlignment="1">
      <alignment horizontal="center" wrapText="1"/>
    </xf>
    <xf numFmtId="0" fontId="50" fillId="2" borderId="36" xfId="0" applyFont="1" applyFill="1" applyBorder="1" applyAlignment="1">
      <alignment horizontal="center"/>
    </xf>
    <xf numFmtId="0" fontId="50" fillId="2" borderId="37" xfId="0" applyFont="1" applyFill="1" applyBorder="1" applyAlignment="1">
      <alignment horizontal="center"/>
    </xf>
    <xf numFmtId="0" fontId="50" fillId="2" borderId="65" xfId="0" applyFont="1" applyFill="1" applyBorder="1" applyAlignment="1">
      <alignment horizontal="center" wrapText="1"/>
    </xf>
    <xf numFmtId="0" fontId="50" fillId="2" borderId="37" xfId="0" applyFont="1" applyFill="1" applyBorder="1" applyAlignment="1">
      <alignment horizontal="center" wrapText="1"/>
    </xf>
    <xf numFmtId="0" fontId="50" fillId="0" borderId="37" xfId="0" applyFont="1" applyBorder="1" applyAlignment="1">
      <alignment horizontal="center" wrapText="1"/>
    </xf>
    <xf numFmtId="0" fontId="0" fillId="2" borderId="16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29" fillId="2" borderId="40" xfId="0" applyFont="1" applyFill="1" applyBorder="1" applyAlignment="1">
      <alignment vertical="top" wrapText="1"/>
    </xf>
    <xf numFmtId="0" fontId="29" fillId="2" borderId="41" xfId="0" applyFont="1" applyFill="1" applyBorder="1" applyAlignment="1">
      <alignment vertical="top" wrapText="1"/>
    </xf>
    <xf numFmtId="0" fontId="29" fillId="2" borderId="8" xfId="0" applyFont="1" applyFill="1" applyBorder="1" applyAlignment="1">
      <alignment vertical="top" wrapText="1"/>
    </xf>
    <xf numFmtId="0" fontId="47" fillId="2" borderId="0" xfId="0" applyFont="1" applyFill="1" applyAlignment="1">
      <alignment horizontal="center"/>
    </xf>
  </cellXfs>
  <cellStyles count="10">
    <cellStyle name="Заголовок" xfId="2"/>
    <cellStyle name="ЗаголовокСтолбца" xfId="3"/>
    <cellStyle name="Значение" xfId="4"/>
    <cellStyle name="Обычный" xfId="0" builtinId="0"/>
    <cellStyle name="Обычный_methodics230802-pril1-3" xfId="8"/>
    <cellStyle name="Обычный_Книга1" xfId="7"/>
    <cellStyle name="Обычный_тарифы на 2002г с 1-01" xfId="9"/>
    <cellStyle name="Процентный" xfId="1" builtinId="5"/>
    <cellStyle name="Формула" xfId="5"/>
    <cellStyle name="ФормулаВБ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5;&#1074;&#1076;&#1086;&#1082;&#1080;&#1084;&#1086;&#1074;&#1072;%20&#1054;\&#1056;&#1072;&#1073;&#1086;&#1095;&#1080;&#1081;%20&#1089;&#1090;&#1086;&#1083;\&#1090;&#1072;&#1073;&#1083;&#1080;&#1094;&#1099;%20&#1085;&#1072;%20&#1056;&#1069;&#1050;\&#1042;&#1072;&#1085;&#1080;&#1085;&#1086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распред.мощности"/>
      <sheetName val="т.1.4"/>
      <sheetName val="т.1.5"/>
      <sheetName val="анализ"/>
      <sheetName val="норм числ."/>
      <sheetName val="норм маш."/>
      <sheetName val="т.1.15свод"/>
      <sheetName val="т.1.15транспорт"/>
      <sheetName val="1.15сбыт"/>
      <sheetName val="т.1.16трансп"/>
      <sheetName val="т.1.16сб."/>
      <sheetName val="т.1.17свод"/>
      <sheetName val="17.транспорт"/>
      <sheetName val="17 сбыт"/>
      <sheetName val="т.17.1тр."/>
      <sheetName val="т.17.1сбыт"/>
      <sheetName val="Лист1"/>
      <sheetName val="т.1.20тр."/>
      <sheetName val="Лист4"/>
      <sheetName val="т.1.21"/>
      <sheetName val="распредНВВ"/>
      <sheetName val="т.1.24."/>
      <sheetName val="прочие"/>
      <sheetName val="Лист2"/>
      <sheetName val="энергия тран."/>
      <sheetName val="матер.сбыт"/>
      <sheetName val="матер. трансп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D10">
            <v>0</v>
          </cell>
        </row>
      </sheetData>
      <sheetData sheetId="14">
        <row r="10">
          <cell r="D1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workbookViewId="0">
      <selection activeCell="L83" sqref="A1:L83"/>
    </sheetView>
  </sheetViews>
  <sheetFormatPr defaultRowHeight="14.5" x14ac:dyDescent="0.35"/>
  <cols>
    <col min="1" max="1" width="3.26953125" customWidth="1"/>
    <col min="4" max="4" width="3.1796875" customWidth="1"/>
    <col min="6" max="6" width="12.1796875" customWidth="1"/>
    <col min="7" max="7" width="8" customWidth="1"/>
    <col min="8" max="8" width="5.1796875" customWidth="1"/>
    <col min="9" max="9" width="9" customWidth="1"/>
    <col min="10" max="10" width="11.7265625" hidden="1" customWidth="1"/>
    <col min="11" max="11" width="5.81640625" customWidth="1"/>
    <col min="12" max="12" width="10" customWidth="1"/>
  </cols>
  <sheetData>
    <row r="1" spans="1:13" x14ac:dyDescent="0.35">
      <c r="G1" s="47" t="s">
        <v>102</v>
      </c>
      <c r="H1" s="48"/>
      <c r="I1" s="48"/>
      <c r="J1" s="380"/>
    </row>
    <row r="2" spans="1:13" x14ac:dyDescent="0.35">
      <c r="G2" s="48" t="s">
        <v>103</v>
      </c>
      <c r="H2" s="48"/>
      <c r="I2" s="48"/>
      <c r="J2" s="380"/>
    </row>
    <row r="3" spans="1:13" x14ac:dyDescent="0.35">
      <c r="G3" s="48" t="s">
        <v>104</v>
      </c>
      <c r="H3" s="48"/>
      <c r="I3" s="48"/>
      <c r="J3" s="380"/>
    </row>
    <row r="4" spans="1:13" x14ac:dyDescent="0.35">
      <c r="G4" s="48" t="s">
        <v>1170</v>
      </c>
      <c r="H4" s="48"/>
      <c r="I4" s="48"/>
      <c r="J4" s="380"/>
    </row>
    <row r="5" spans="1:13" ht="25.5" customHeight="1" thickBot="1" x14ac:dyDescent="0.4">
      <c r="A5" s="1"/>
      <c r="B5" s="786" t="s">
        <v>124</v>
      </c>
      <c r="C5" s="786"/>
      <c r="D5" s="786"/>
      <c r="E5" s="786"/>
      <c r="F5" s="786"/>
      <c r="G5" s="786"/>
      <c r="H5" s="786"/>
      <c r="I5" s="786"/>
      <c r="J5" s="786"/>
      <c r="K5" s="786"/>
      <c r="L5" s="786"/>
    </row>
    <row r="6" spans="1:13" ht="35" thickBot="1" x14ac:dyDescent="0.4">
      <c r="A6" s="369" t="s">
        <v>0</v>
      </c>
      <c r="B6" s="788" t="s">
        <v>1</v>
      </c>
      <c r="C6" s="789"/>
      <c r="D6" s="789"/>
      <c r="E6" s="789"/>
      <c r="F6" s="790"/>
      <c r="G6" s="788" t="s">
        <v>2</v>
      </c>
      <c r="H6" s="789"/>
      <c r="I6" s="370" t="s">
        <v>3</v>
      </c>
      <c r="J6" s="789" t="s">
        <v>4</v>
      </c>
      <c r="K6" s="789"/>
      <c r="L6" s="371" t="s">
        <v>5</v>
      </c>
    </row>
    <row r="7" spans="1:13" x14ac:dyDescent="0.35">
      <c r="A7" s="791" t="s">
        <v>6</v>
      </c>
      <c r="B7" s="792"/>
      <c r="C7" s="792"/>
      <c r="D7" s="792"/>
      <c r="E7" s="792"/>
      <c r="F7" s="792"/>
      <c r="G7" s="793"/>
      <c r="H7" s="793"/>
      <c r="I7" s="793"/>
      <c r="J7" s="793"/>
      <c r="K7" s="794"/>
      <c r="L7" s="372" t="s">
        <v>7</v>
      </c>
    </row>
    <row r="8" spans="1:13" x14ac:dyDescent="0.35">
      <c r="A8" s="321">
        <v>1</v>
      </c>
      <c r="B8" s="787" t="s">
        <v>42</v>
      </c>
      <c r="C8" s="787"/>
      <c r="D8" s="787"/>
      <c r="E8" s="787"/>
      <c r="F8" s="787"/>
      <c r="G8" s="781">
        <v>1</v>
      </c>
      <c r="H8" s="782"/>
      <c r="I8" s="342">
        <v>6.5</v>
      </c>
      <c r="J8" s="342">
        <v>8.15</v>
      </c>
      <c r="K8" s="348">
        <v>16</v>
      </c>
      <c r="L8" s="373">
        <v>16</v>
      </c>
      <c r="M8" s="22"/>
    </row>
    <row r="9" spans="1:13" x14ac:dyDescent="0.35">
      <c r="A9" s="60">
        <v>2</v>
      </c>
      <c r="B9" s="787" t="s">
        <v>8</v>
      </c>
      <c r="C9" s="787"/>
      <c r="D9" s="787"/>
      <c r="E9" s="787"/>
      <c r="F9" s="787"/>
      <c r="G9" s="782">
        <v>1</v>
      </c>
      <c r="H9" s="785"/>
      <c r="I9" s="342">
        <v>5.8</v>
      </c>
      <c r="J9" s="785">
        <v>15</v>
      </c>
      <c r="K9" s="785"/>
      <c r="L9" s="373">
        <f t="shared" ref="L9" si="0">J9*G9</f>
        <v>15</v>
      </c>
    </row>
    <row r="10" spans="1:13" x14ac:dyDescent="0.35">
      <c r="A10" s="60">
        <f>A9+1</f>
        <v>3</v>
      </c>
      <c r="B10" s="787" t="s">
        <v>9</v>
      </c>
      <c r="C10" s="787"/>
      <c r="D10" s="787"/>
      <c r="E10" s="787"/>
      <c r="F10" s="787"/>
      <c r="G10" s="782">
        <v>1</v>
      </c>
      <c r="H10" s="785"/>
      <c r="I10" s="303">
        <v>5.8</v>
      </c>
      <c r="J10" s="785">
        <v>15</v>
      </c>
      <c r="K10" s="785"/>
      <c r="L10" s="3">
        <f t="shared" ref="L10:L22" si="1">J10*G10</f>
        <v>15</v>
      </c>
    </row>
    <row r="11" spans="1:13" x14ac:dyDescent="0.35">
      <c r="A11" s="60">
        <f t="shared" ref="A11:A22" si="2">A10+1</f>
        <v>4</v>
      </c>
      <c r="B11" s="787" t="s">
        <v>10</v>
      </c>
      <c r="C11" s="787"/>
      <c r="D11" s="787"/>
      <c r="E11" s="787"/>
      <c r="F11" s="787"/>
      <c r="G11" s="782">
        <v>1</v>
      </c>
      <c r="H11" s="785"/>
      <c r="I11" s="303">
        <v>2.66</v>
      </c>
      <c r="J11" s="785">
        <v>9</v>
      </c>
      <c r="K11" s="785"/>
      <c r="L11" s="3">
        <f t="shared" ref="L11" si="3">J11*G11</f>
        <v>9</v>
      </c>
    </row>
    <row r="12" spans="1:13" x14ac:dyDescent="0.35">
      <c r="A12" s="60">
        <f t="shared" si="2"/>
        <v>5</v>
      </c>
      <c r="B12" s="787" t="s">
        <v>11</v>
      </c>
      <c r="C12" s="787"/>
      <c r="D12" s="787"/>
      <c r="E12" s="787"/>
      <c r="F12" s="787"/>
      <c r="G12" s="782">
        <v>1</v>
      </c>
      <c r="H12" s="785"/>
      <c r="I12" s="303">
        <v>2.66</v>
      </c>
      <c r="J12" s="785">
        <v>9</v>
      </c>
      <c r="K12" s="785"/>
      <c r="L12" s="3">
        <f>J12*G12</f>
        <v>9</v>
      </c>
    </row>
    <row r="13" spans="1:13" x14ac:dyDescent="0.35">
      <c r="A13" s="60">
        <f t="shared" si="2"/>
        <v>6</v>
      </c>
      <c r="B13" s="795" t="s">
        <v>105</v>
      </c>
      <c r="C13" s="795"/>
      <c r="D13" s="795"/>
      <c r="E13" s="795"/>
      <c r="F13" s="795"/>
      <c r="G13" s="782">
        <v>1</v>
      </c>
      <c r="H13" s="785"/>
      <c r="I13" s="303">
        <v>2.66</v>
      </c>
      <c r="J13" s="785">
        <v>9</v>
      </c>
      <c r="K13" s="785"/>
      <c r="L13" s="3">
        <f>J13*G13</f>
        <v>9</v>
      </c>
    </row>
    <row r="14" spans="1:13" x14ac:dyDescent="0.35">
      <c r="A14" s="60">
        <v>7</v>
      </c>
      <c r="B14" s="787" t="s">
        <v>12</v>
      </c>
      <c r="C14" s="787"/>
      <c r="D14" s="787"/>
      <c r="E14" s="787"/>
      <c r="F14" s="787"/>
      <c r="G14" s="782">
        <v>1</v>
      </c>
      <c r="H14" s="785"/>
      <c r="I14" s="303">
        <v>2.66</v>
      </c>
      <c r="J14" s="785">
        <v>9</v>
      </c>
      <c r="K14" s="785"/>
      <c r="L14" s="3">
        <f t="shared" ref="L14:L15" si="4">J14*G14</f>
        <v>9</v>
      </c>
    </row>
    <row r="15" spans="1:13" x14ac:dyDescent="0.35">
      <c r="A15" s="60">
        <v>8</v>
      </c>
      <c r="B15" s="787" t="s">
        <v>13</v>
      </c>
      <c r="C15" s="787"/>
      <c r="D15" s="787"/>
      <c r="E15" s="787"/>
      <c r="F15" s="787"/>
      <c r="G15" s="782">
        <v>1</v>
      </c>
      <c r="H15" s="785"/>
      <c r="I15" s="303">
        <v>2.33</v>
      </c>
      <c r="J15" s="783">
        <v>7</v>
      </c>
      <c r="K15" s="783"/>
      <c r="L15" s="3">
        <f t="shared" si="4"/>
        <v>7</v>
      </c>
    </row>
    <row r="16" spans="1:13" ht="24.75" customHeight="1" x14ac:dyDescent="0.35">
      <c r="A16" s="60">
        <f t="shared" si="2"/>
        <v>9</v>
      </c>
      <c r="B16" s="784" t="s">
        <v>107</v>
      </c>
      <c r="C16" s="784"/>
      <c r="D16" s="784"/>
      <c r="E16" s="784"/>
      <c r="F16" s="784"/>
      <c r="G16" s="782">
        <v>2</v>
      </c>
      <c r="H16" s="785"/>
      <c r="I16" s="303">
        <v>4.37</v>
      </c>
      <c r="J16" s="785">
        <v>13</v>
      </c>
      <c r="K16" s="785"/>
      <c r="L16" s="3">
        <f t="shared" si="1"/>
        <v>26</v>
      </c>
    </row>
    <row r="17" spans="1:12" ht="19.5" customHeight="1" x14ac:dyDescent="0.35">
      <c r="A17" s="60">
        <f t="shared" si="2"/>
        <v>10</v>
      </c>
      <c r="B17" s="784" t="s">
        <v>108</v>
      </c>
      <c r="C17" s="784"/>
      <c r="D17" s="784"/>
      <c r="E17" s="784"/>
      <c r="F17" s="784"/>
      <c r="G17" s="782">
        <v>1</v>
      </c>
      <c r="H17" s="785"/>
      <c r="I17" s="303">
        <v>2.08</v>
      </c>
      <c r="J17" s="783">
        <v>7</v>
      </c>
      <c r="K17" s="783"/>
      <c r="L17" s="3">
        <f t="shared" si="1"/>
        <v>7</v>
      </c>
    </row>
    <row r="18" spans="1:12" ht="18" customHeight="1" x14ac:dyDescent="0.35">
      <c r="A18" s="60">
        <f t="shared" si="2"/>
        <v>11</v>
      </c>
      <c r="B18" s="784" t="s">
        <v>14</v>
      </c>
      <c r="C18" s="784"/>
      <c r="D18" s="784"/>
      <c r="E18" s="784"/>
      <c r="F18" s="784"/>
      <c r="G18" s="782">
        <v>1</v>
      </c>
      <c r="H18" s="785"/>
      <c r="I18" s="303">
        <v>2.08</v>
      </c>
      <c r="J18" s="783">
        <v>7</v>
      </c>
      <c r="K18" s="783"/>
      <c r="L18" s="3">
        <f t="shared" ref="L18" si="5">J18*G18</f>
        <v>7</v>
      </c>
    </row>
    <row r="19" spans="1:12" ht="17.25" customHeight="1" x14ac:dyDescent="0.35">
      <c r="A19" s="60">
        <f t="shared" si="2"/>
        <v>12</v>
      </c>
      <c r="B19" s="778" t="s">
        <v>106</v>
      </c>
      <c r="C19" s="779"/>
      <c r="D19" s="779"/>
      <c r="E19" s="779"/>
      <c r="F19" s="780"/>
      <c r="G19" s="781">
        <v>1</v>
      </c>
      <c r="H19" s="782"/>
      <c r="I19" s="303">
        <v>2.66</v>
      </c>
      <c r="J19" s="783">
        <v>9</v>
      </c>
      <c r="K19" s="783"/>
      <c r="L19" s="3">
        <f t="shared" si="1"/>
        <v>9</v>
      </c>
    </row>
    <row r="20" spans="1:12" x14ac:dyDescent="0.35">
      <c r="A20" s="60">
        <f t="shared" si="2"/>
        <v>13</v>
      </c>
      <c r="B20" s="778" t="s">
        <v>111</v>
      </c>
      <c r="C20" s="779"/>
      <c r="D20" s="779"/>
      <c r="E20" s="779"/>
      <c r="F20" s="780"/>
      <c r="G20" s="781">
        <v>0.5</v>
      </c>
      <c r="H20" s="782"/>
      <c r="I20" s="304">
        <v>1.84</v>
      </c>
      <c r="J20" s="783">
        <v>6</v>
      </c>
      <c r="K20" s="783"/>
      <c r="L20" s="3">
        <f t="shared" si="1"/>
        <v>3</v>
      </c>
    </row>
    <row r="21" spans="1:12" x14ac:dyDescent="0.35">
      <c r="A21" s="60">
        <f t="shared" si="2"/>
        <v>14</v>
      </c>
      <c r="B21" s="798" t="s">
        <v>112</v>
      </c>
      <c r="C21" s="798"/>
      <c r="D21" s="798"/>
      <c r="E21" s="798"/>
      <c r="F21" s="798"/>
      <c r="G21" s="782">
        <v>0.5</v>
      </c>
      <c r="H21" s="785"/>
      <c r="I21" s="304">
        <v>1.28</v>
      </c>
      <c r="J21" s="783">
        <v>3</v>
      </c>
      <c r="K21" s="783"/>
      <c r="L21" s="3">
        <f t="shared" si="1"/>
        <v>1.5</v>
      </c>
    </row>
    <row r="22" spans="1:12" ht="15" thickBot="1" x14ac:dyDescent="0.4">
      <c r="A22" s="60">
        <f t="shared" si="2"/>
        <v>15</v>
      </c>
      <c r="B22" s="798" t="s">
        <v>127</v>
      </c>
      <c r="C22" s="798"/>
      <c r="D22" s="798"/>
      <c r="E22" s="798"/>
      <c r="F22" s="798"/>
      <c r="G22" s="782">
        <v>1</v>
      </c>
      <c r="H22" s="785"/>
      <c r="I22" s="304">
        <v>1.28</v>
      </c>
      <c r="J22" s="783">
        <v>3</v>
      </c>
      <c r="K22" s="783"/>
      <c r="L22" s="3">
        <f t="shared" si="1"/>
        <v>3</v>
      </c>
    </row>
    <row r="23" spans="1:12" ht="15" thickBot="1" x14ac:dyDescent="0.4">
      <c r="A23" s="825" t="s">
        <v>15</v>
      </c>
      <c r="B23" s="830"/>
      <c r="C23" s="830"/>
      <c r="D23" s="830"/>
      <c r="E23" s="830"/>
      <c r="F23" s="831"/>
      <c r="G23" s="832">
        <f>SUM(G8:G22)</f>
        <v>15</v>
      </c>
      <c r="H23" s="833"/>
      <c r="I23" s="322"/>
      <c r="J23" s="834"/>
      <c r="K23" s="835"/>
      <c r="L23" s="38">
        <f>SUM(L8:L22)</f>
        <v>145.5</v>
      </c>
    </row>
    <row r="24" spans="1:12" ht="15" thickBot="1" x14ac:dyDescent="0.4">
      <c r="A24" s="63"/>
      <c r="B24" s="64"/>
      <c r="C24" s="64"/>
      <c r="D24" s="64"/>
      <c r="E24" s="64"/>
      <c r="F24" s="64"/>
      <c r="G24" s="65"/>
      <c r="H24" s="65"/>
      <c r="I24" s="4"/>
      <c r="J24" s="8"/>
      <c r="K24" s="8"/>
      <c r="L24" s="5"/>
    </row>
    <row r="25" spans="1:12" x14ac:dyDescent="0.35">
      <c r="A25" s="801" t="s">
        <v>16</v>
      </c>
      <c r="B25" s="802"/>
      <c r="C25" s="802"/>
      <c r="D25" s="802"/>
      <c r="E25" s="802"/>
      <c r="F25" s="802"/>
      <c r="G25" s="802"/>
      <c r="H25" s="802"/>
      <c r="I25" s="802"/>
      <c r="J25" s="802"/>
      <c r="K25" s="802"/>
      <c r="L25" s="803"/>
    </row>
    <row r="26" spans="1:12" ht="26.25" customHeight="1" x14ac:dyDescent="0.35">
      <c r="A26" s="321">
        <v>1</v>
      </c>
      <c r="B26" s="784" t="s">
        <v>1376</v>
      </c>
      <c r="C26" s="784"/>
      <c r="D26" s="784"/>
      <c r="E26" s="784"/>
      <c r="F26" s="784"/>
      <c r="G26" s="799">
        <v>1</v>
      </c>
      <c r="H26" s="799"/>
      <c r="I26" s="50">
        <v>2.08</v>
      </c>
      <c r="J26" s="50"/>
      <c r="K26" s="50">
        <v>7</v>
      </c>
      <c r="L26" s="12">
        <v>7</v>
      </c>
    </row>
    <row r="27" spans="1:12" ht="18" customHeight="1" x14ac:dyDescent="0.35">
      <c r="A27" s="321">
        <v>2</v>
      </c>
      <c r="B27" s="798" t="s">
        <v>96</v>
      </c>
      <c r="C27" s="798"/>
      <c r="D27" s="798"/>
      <c r="E27" s="798"/>
      <c r="F27" s="798"/>
      <c r="G27" s="799">
        <v>1</v>
      </c>
      <c r="H27" s="799"/>
      <c r="I27" s="50">
        <v>2.08</v>
      </c>
      <c r="J27" s="50"/>
      <c r="K27" s="50">
        <v>7</v>
      </c>
      <c r="L27" s="10">
        <v>7</v>
      </c>
    </row>
    <row r="28" spans="1:12" x14ac:dyDescent="0.35">
      <c r="A28" s="60">
        <v>3</v>
      </c>
      <c r="B28" s="784" t="s">
        <v>109</v>
      </c>
      <c r="C28" s="784"/>
      <c r="D28" s="784"/>
      <c r="E28" s="784"/>
      <c r="F28" s="784"/>
      <c r="G28" s="799">
        <v>1</v>
      </c>
      <c r="H28" s="799"/>
      <c r="I28" s="51">
        <v>2.35</v>
      </c>
      <c r="J28" s="796">
        <v>8</v>
      </c>
      <c r="K28" s="797"/>
      <c r="L28" s="10">
        <f>J28*G28</f>
        <v>8</v>
      </c>
    </row>
    <row r="29" spans="1:12" x14ac:dyDescent="0.35">
      <c r="A29" s="59">
        <v>4</v>
      </c>
      <c r="B29" s="784" t="s">
        <v>125</v>
      </c>
      <c r="C29" s="784"/>
      <c r="D29" s="784"/>
      <c r="E29" s="784"/>
      <c r="F29" s="784"/>
      <c r="G29" s="807">
        <v>1</v>
      </c>
      <c r="H29" s="808"/>
      <c r="I29" s="9">
        <v>1.44</v>
      </c>
      <c r="J29" s="800">
        <v>4</v>
      </c>
      <c r="K29" s="822"/>
      <c r="L29" s="10">
        <v>4</v>
      </c>
    </row>
    <row r="30" spans="1:12" x14ac:dyDescent="0.35">
      <c r="A30" s="60">
        <v>5</v>
      </c>
      <c r="B30" s="309" t="s">
        <v>113</v>
      </c>
      <c r="C30" s="310"/>
      <c r="D30" s="310"/>
      <c r="E30" s="310"/>
      <c r="F30" s="311"/>
      <c r="G30" s="799">
        <v>1</v>
      </c>
      <c r="H30" s="799"/>
      <c r="I30" s="308">
        <v>2.35</v>
      </c>
      <c r="J30" s="783">
        <v>8</v>
      </c>
      <c r="K30" s="800"/>
      <c r="L30" s="12">
        <f>J30*G30</f>
        <v>8</v>
      </c>
    </row>
    <row r="31" spans="1:12" x14ac:dyDescent="0.35">
      <c r="A31" s="60">
        <v>6</v>
      </c>
      <c r="B31" s="804" t="s">
        <v>114</v>
      </c>
      <c r="C31" s="805"/>
      <c r="D31" s="805"/>
      <c r="E31" s="805"/>
      <c r="F31" s="806"/>
      <c r="G31" s="807">
        <v>1</v>
      </c>
      <c r="H31" s="808"/>
      <c r="I31" s="308">
        <v>2.35</v>
      </c>
      <c r="J31" s="783">
        <v>8</v>
      </c>
      <c r="K31" s="800"/>
      <c r="L31" s="12">
        <f>J31*G31</f>
        <v>8</v>
      </c>
    </row>
    <row r="32" spans="1:12" x14ac:dyDescent="0.35">
      <c r="A32" s="60">
        <v>7</v>
      </c>
      <c r="B32" s="305" t="s">
        <v>17</v>
      </c>
      <c r="C32" s="306"/>
      <c r="D32" s="306"/>
      <c r="E32" s="306"/>
      <c r="F32" s="307"/>
      <c r="G32" s="807">
        <v>1</v>
      </c>
      <c r="H32" s="808"/>
      <c r="I32" s="308">
        <v>2.66</v>
      </c>
      <c r="J32" s="783">
        <v>9</v>
      </c>
      <c r="K32" s="800"/>
      <c r="L32" s="12">
        <f>J32*G32</f>
        <v>9</v>
      </c>
    </row>
    <row r="33" spans="1:12" ht="15" thickBot="1" x14ac:dyDescent="0.4">
      <c r="A33" s="60">
        <v>8</v>
      </c>
      <c r="B33" s="61" t="s">
        <v>97</v>
      </c>
      <c r="C33" s="62"/>
      <c r="D33" s="62"/>
      <c r="E33" s="62"/>
      <c r="F33" s="43"/>
      <c r="G33" s="823">
        <v>8</v>
      </c>
      <c r="H33" s="824"/>
      <c r="I33" s="308">
        <v>2.35</v>
      </c>
      <c r="J33" s="783">
        <v>8</v>
      </c>
      <c r="K33" s="800"/>
      <c r="L33" s="12">
        <f>J33*G33</f>
        <v>64</v>
      </c>
    </row>
    <row r="34" spans="1:12" ht="15" thickBot="1" x14ac:dyDescent="0.4">
      <c r="A34" s="825" t="s">
        <v>15</v>
      </c>
      <c r="B34" s="826"/>
      <c r="C34" s="826"/>
      <c r="D34" s="826"/>
      <c r="E34" s="826"/>
      <c r="F34" s="826"/>
      <c r="G34" s="827">
        <v>15</v>
      </c>
      <c r="H34" s="828"/>
      <c r="I34" s="312"/>
      <c r="J34" s="829"/>
      <c r="K34" s="829"/>
      <c r="L34" s="5">
        <f>SUM(L26:L33)</f>
        <v>115</v>
      </c>
    </row>
    <row r="35" spans="1:12" ht="15" thickBot="1" x14ac:dyDescent="0.4">
      <c r="A35" s="6"/>
      <c r="B35" s="7"/>
      <c r="C35" s="7"/>
      <c r="D35" s="7"/>
      <c r="E35" s="7"/>
      <c r="F35" s="7"/>
      <c r="G35" s="14"/>
      <c r="H35" s="14"/>
      <c r="I35" s="14"/>
      <c r="J35" s="15"/>
      <c r="K35" s="15"/>
      <c r="L35" s="16"/>
    </row>
    <row r="36" spans="1:12" ht="15" thickBot="1" x14ac:dyDescent="0.4">
      <c r="A36" s="809" t="s">
        <v>18</v>
      </c>
      <c r="B36" s="810"/>
      <c r="C36" s="810"/>
      <c r="D36" s="810"/>
      <c r="E36" s="810"/>
      <c r="F36" s="810"/>
      <c r="G36" s="810"/>
      <c r="H36" s="810"/>
      <c r="I36" s="810"/>
      <c r="J36" s="810"/>
      <c r="K36" s="810"/>
      <c r="L36" s="811"/>
    </row>
    <row r="37" spans="1:12" ht="19.5" customHeight="1" x14ac:dyDescent="0.35">
      <c r="A37" s="2">
        <v>1</v>
      </c>
      <c r="B37" s="812" t="s">
        <v>115</v>
      </c>
      <c r="C37" s="813"/>
      <c r="D37" s="813"/>
      <c r="E37" s="813"/>
      <c r="F37" s="814"/>
      <c r="G37" s="815">
        <v>2</v>
      </c>
      <c r="H37" s="816"/>
      <c r="I37" s="17">
        <v>1.1299999999999999</v>
      </c>
      <c r="J37" s="783">
        <v>2</v>
      </c>
      <c r="K37" s="800"/>
      <c r="L37" s="3">
        <f>J37*G37</f>
        <v>4</v>
      </c>
    </row>
    <row r="38" spans="1:12" ht="15" customHeight="1" x14ac:dyDescent="0.35">
      <c r="A38" s="2">
        <v>2</v>
      </c>
      <c r="B38" s="817" t="s">
        <v>116</v>
      </c>
      <c r="C38" s="818"/>
      <c r="D38" s="818"/>
      <c r="E38" s="818"/>
      <c r="F38" s="819"/>
      <c r="G38" s="820">
        <v>4</v>
      </c>
      <c r="H38" s="821"/>
      <c r="I38" s="17">
        <v>1.28</v>
      </c>
      <c r="J38" s="800">
        <v>3</v>
      </c>
      <c r="K38" s="822"/>
      <c r="L38" s="3">
        <f>J38*G38</f>
        <v>12</v>
      </c>
    </row>
    <row r="39" spans="1:12" ht="15" customHeight="1" x14ac:dyDescent="0.35">
      <c r="A39" s="55" t="s">
        <v>19</v>
      </c>
      <c r="B39" s="817" t="s">
        <v>117</v>
      </c>
      <c r="C39" s="818"/>
      <c r="D39" s="818"/>
      <c r="E39" s="818"/>
      <c r="F39" s="819"/>
      <c r="G39" s="820">
        <v>6</v>
      </c>
      <c r="H39" s="821"/>
      <c r="I39" s="17">
        <v>1.44</v>
      </c>
      <c r="J39" s="800">
        <v>4</v>
      </c>
      <c r="K39" s="822"/>
      <c r="L39" s="3">
        <f t="shared" ref="L39:L42" si="6">G39*J39</f>
        <v>24</v>
      </c>
    </row>
    <row r="40" spans="1:12" ht="15" customHeight="1" x14ac:dyDescent="0.35">
      <c r="A40" s="55" t="s">
        <v>80</v>
      </c>
      <c r="B40" s="817" t="s">
        <v>118</v>
      </c>
      <c r="C40" s="818"/>
      <c r="D40" s="818"/>
      <c r="E40" s="818"/>
      <c r="F40" s="819"/>
      <c r="G40" s="820">
        <v>1</v>
      </c>
      <c r="H40" s="821"/>
      <c r="I40" s="17">
        <v>1.28</v>
      </c>
      <c r="J40" s="800">
        <v>3</v>
      </c>
      <c r="K40" s="822"/>
      <c r="L40" s="3">
        <f t="shared" si="6"/>
        <v>3</v>
      </c>
    </row>
    <row r="41" spans="1:12" ht="15" customHeight="1" x14ac:dyDescent="0.35">
      <c r="A41" s="55" t="s">
        <v>81</v>
      </c>
      <c r="B41" s="817" t="s">
        <v>119</v>
      </c>
      <c r="C41" s="818"/>
      <c r="D41" s="818"/>
      <c r="E41" s="818"/>
      <c r="F41" s="819"/>
      <c r="G41" s="836">
        <v>2</v>
      </c>
      <c r="H41" s="837"/>
      <c r="I41" s="17">
        <v>1.44</v>
      </c>
      <c r="J41" s="800">
        <v>4</v>
      </c>
      <c r="K41" s="822"/>
      <c r="L41" s="3">
        <f t="shared" si="6"/>
        <v>8</v>
      </c>
    </row>
    <row r="42" spans="1:12" ht="22.5" customHeight="1" x14ac:dyDescent="0.35">
      <c r="A42" s="55" t="s">
        <v>82</v>
      </c>
      <c r="B42" s="817" t="s">
        <v>120</v>
      </c>
      <c r="C42" s="818"/>
      <c r="D42" s="818"/>
      <c r="E42" s="818"/>
      <c r="F42" s="819"/>
      <c r="G42" s="836">
        <v>6</v>
      </c>
      <c r="H42" s="837"/>
      <c r="I42" s="17">
        <v>1.28</v>
      </c>
      <c r="J42" s="800">
        <v>3</v>
      </c>
      <c r="K42" s="822"/>
      <c r="L42" s="3">
        <f t="shared" si="6"/>
        <v>18</v>
      </c>
    </row>
    <row r="43" spans="1:12" ht="21" customHeight="1" x14ac:dyDescent="0.35">
      <c r="A43" s="55" t="s">
        <v>20</v>
      </c>
      <c r="B43" s="817" t="s">
        <v>121</v>
      </c>
      <c r="C43" s="818"/>
      <c r="D43" s="818"/>
      <c r="E43" s="818"/>
      <c r="F43" s="819"/>
      <c r="G43" s="836">
        <v>6</v>
      </c>
      <c r="H43" s="837"/>
      <c r="I43" s="17">
        <v>1.44</v>
      </c>
      <c r="J43" s="800">
        <v>4</v>
      </c>
      <c r="K43" s="822"/>
      <c r="L43" s="3">
        <f>G43*J43</f>
        <v>24</v>
      </c>
    </row>
    <row r="44" spans="1:12" ht="21" customHeight="1" x14ac:dyDescent="0.35">
      <c r="A44" s="55" t="s">
        <v>21</v>
      </c>
      <c r="B44" s="817" t="s">
        <v>126</v>
      </c>
      <c r="C44" s="818"/>
      <c r="D44" s="818"/>
      <c r="E44" s="818"/>
      <c r="F44" s="819"/>
      <c r="G44" s="836">
        <v>2</v>
      </c>
      <c r="H44" s="837"/>
      <c r="I44" s="17">
        <v>1.63</v>
      </c>
      <c r="J44" s="800">
        <v>5</v>
      </c>
      <c r="K44" s="822"/>
      <c r="L44" s="3">
        <f>G44*J44</f>
        <v>10</v>
      </c>
    </row>
    <row r="45" spans="1:12" ht="12" customHeight="1" x14ac:dyDescent="0.35">
      <c r="A45" s="55" t="s">
        <v>22</v>
      </c>
      <c r="B45" s="335" t="s">
        <v>1058</v>
      </c>
      <c r="C45" s="340"/>
      <c r="D45" s="340"/>
      <c r="E45" s="340"/>
      <c r="F45" s="341"/>
      <c r="G45" s="836">
        <v>1</v>
      </c>
      <c r="H45" s="837"/>
      <c r="I45" s="17">
        <v>1.1299999999999999</v>
      </c>
      <c r="J45" s="337"/>
      <c r="K45" s="374">
        <v>2</v>
      </c>
      <c r="L45" s="3">
        <f>G45*K45</f>
        <v>2</v>
      </c>
    </row>
    <row r="46" spans="1:12" ht="15.75" customHeight="1" x14ac:dyDescent="0.35">
      <c r="A46" s="55" t="s">
        <v>1060</v>
      </c>
      <c r="B46" s="339" t="s">
        <v>1059</v>
      </c>
      <c r="C46" s="340"/>
      <c r="D46" s="340"/>
      <c r="E46" s="340"/>
      <c r="F46" s="341"/>
      <c r="G46" s="836">
        <v>3</v>
      </c>
      <c r="H46" s="837"/>
      <c r="I46" s="17">
        <v>1.07</v>
      </c>
      <c r="J46" s="337"/>
      <c r="K46" s="374">
        <v>2</v>
      </c>
      <c r="L46" s="3">
        <f>G46*K46</f>
        <v>6</v>
      </c>
    </row>
    <row r="47" spans="1:12" ht="15" thickBot="1" x14ac:dyDescent="0.4">
      <c r="A47" s="55" t="s">
        <v>1061</v>
      </c>
      <c r="B47" s="838" t="s">
        <v>23</v>
      </c>
      <c r="C47" s="839"/>
      <c r="D47" s="839"/>
      <c r="E47" s="839"/>
      <c r="F47" s="840"/>
      <c r="G47" s="375">
        <v>2</v>
      </c>
      <c r="H47" s="376"/>
      <c r="I47" s="11">
        <v>1.44</v>
      </c>
      <c r="J47" s="783">
        <v>4</v>
      </c>
      <c r="K47" s="800"/>
      <c r="L47" s="3">
        <f t="shared" ref="L47" si="7">J47*G47</f>
        <v>8</v>
      </c>
    </row>
    <row r="48" spans="1:12" ht="15" thickBot="1" x14ac:dyDescent="0.4">
      <c r="A48" s="851" t="s">
        <v>15</v>
      </c>
      <c r="B48" s="852"/>
      <c r="C48" s="852"/>
      <c r="D48" s="852"/>
      <c r="E48" s="852"/>
      <c r="F48" s="852"/>
      <c r="G48" s="809">
        <f>SUM(G37:G47)</f>
        <v>35</v>
      </c>
      <c r="H48" s="811"/>
      <c r="I48" s="13"/>
      <c r="J48" s="853"/>
      <c r="K48" s="854"/>
      <c r="L48" s="5">
        <f>SUM(L37:L47)</f>
        <v>119</v>
      </c>
    </row>
    <row r="49" spans="1:12" ht="15" thickBot="1" x14ac:dyDescent="0.4">
      <c r="A49" s="809"/>
      <c r="B49" s="810"/>
      <c r="C49" s="810"/>
      <c r="D49" s="810"/>
      <c r="E49" s="810"/>
      <c r="F49" s="810"/>
      <c r="G49" s="14"/>
      <c r="H49" s="14"/>
      <c r="I49" s="14"/>
      <c r="J49" s="15"/>
      <c r="K49" s="15"/>
      <c r="L49" s="16"/>
    </row>
    <row r="50" spans="1:12" ht="15" thickBot="1" x14ac:dyDescent="0.4">
      <c r="A50" s="809" t="s">
        <v>24</v>
      </c>
      <c r="B50" s="810"/>
      <c r="C50" s="810"/>
      <c r="D50" s="810"/>
      <c r="E50" s="810"/>
      <c r="F50" s="810"/>
      <c r="G50" s="810"/>
      <c r="H50" s="810"/>
      <c r="I50" s="810"/>
      <c r="J50" s="810"/>
      <c r="K50" s="810"/>
      <c r="L50" s="811"/>
    </row>
    <row r="51" spans="1:12" x14ac:dyDescent="0.35">
      <c r="A51" s="323">
        <v>1</v>
      </c>
      <c r="B51" s="857" t="s">
        <v>128</v>
      </c>
      <c r="C51" s="858"/>
      <c r="D51" s="858"/>
      <c r="E51" s="858"/>
      <c r="F51" s="52"/>
      <c r="G51" s="855">
        <v>1</v>
      </c>
      <c r="H51" s="856"/>
      <c r="I51" s="324">
        <v>1.28</v>
      </c>
      <c r="J51" s="849">
        <v>3</v>
      </c>
      <c r="K51" s="850"/>
      <c r="L51" s="325">
        <f t="shared" ref="L51:L66" si="8">J51*G51</f>
        <v>3</v>
      </c>
    </row>
    <row r="52" spans="1:12" x14ac:dyDescent="0.35">
      <c r="A52" s="60">
        <v>2</v>
      </c>
      <c r="B52" s="838" t="s">
        <v>25</v>
      </c>
      <c r="C52" s="839"/>
      <c r="D52" s="839"/>
      <c r="E52" s="839"/>
      <c r="F52" s="53"/>
      <c r="G52" s="836">
        <v>1</v>
      </c>
      <c r="H52" s="837"/>
      <c r="I52" s="50">
        <v>1.28</v>
      </c>
      <c r="J52" s="783">
        <v>3</v>
      </c>
      <c r="K52" s="800"/>
      <c r="L52" s="3">
        <f t="shared" si="8"/>
        <v>3</v>
      </c>
    </row>
    <row r="53" spans="1:12" x14ac:dyDescent="0.35">
      <c r="A53" s="60">
        <v>3</v>
      </c>
      <c r="B53" s="838" t="s">
        <v>1377</v>
      </c>
      <c r="C53" s="839"/>
      <c r="D53" s="839"/>
      <c r="E53" s="839"/>
      <c r="F53" s="53"/>
      <c r="G53" s="836">
        <v>1</v>
      </c>
      <c r="H53" s="837"/>
      <c r="I53" s="50">
        <v>1.63</v>
      </c>
      <c r="J53" s="783">
        <v>5</v>
      </c>
      <c r="K53" s="800"/>
      <c r="L53" s="3">
        <f t="shared" si="8"/>
        <v>5</v>
      </c>
    </row>
    <row r="54" spans="1:12" x14ac:dyDescent="0.35">
      <c r="A54" s="60">
        <v>4</v>
      </c>
      <c r="B54" s="838" t="s">
        <v>1378</v>
      </c>
      <c r="C54" s="839"/>
      <c r="D54" s="839"/>
      <c r="E54" s="839"/>
      <c r="F54" s="53"/>
      <c r="G54" s="836">
        <v>1</v>
      </c>
      <c r="H54" s="837"/>
      <c r="I54" s="50">
        <v>1.63</v>
      </c>
      <c r="J54" s="783">
        <v>5</v>
      </c>
      <c r="K54" s="800"/>
      <c r="L54" s="3">
        <f t="shared" si="8"/>
        <v>5</v>
      </c>
    </row>
    <row r="55" spans="1:12" x14ac:dyDescent="0.35">
      <c r="A55" s="60">
        <v>5</v>
      </c>
      <c r="B55" s="838" t="s">
        <v>26</v>
      </c>
      <c r="C55" s="839"/>
      <c r="D55" s="839"/>
      <c r="E55" s="839"/>
      <c r="F55" s="53"/>
      <c r="G55" s="836">
        <v>1</v>
      </c>
      <c r="H55" s="837"/>
      <c r="I55" s="50">
        <v>1.44</v>
      </c>
      <c r="J55" s="783">
        <v>4</v>
      </c>
      <c r="K55" s="800"/>
      <c r="L55" s="3">
        <f t="shared" si="8"/>
        <v>4</v>
      </c>
    </row>
    <row r="56" spans="1:12" x14ac:dyDescent="0.35">
      <c r="A56" s="60">
        <v>6</v>
      </c>
      <c r="B56" s="838" t="s">
        <v>98</v>
      </c>
      <c r="C56" s="839"/>
      <c r="D56" s="839"/>
      <c r="E56" s="839"/>
      <c r="F56" s="53"/>
      <c r="G56" s="836">
        <v>1</v>
      </c>
      <c r="H56" s="837"/>
      <c r="I56" s="50">
        <v>1.44</v>
      </c>
      <c r="J56" s="783">
        <v>4</v>
      </c>
      <c r="K56" s="783"/>
      <c r="L56" s="3">
        <f t="shared" si="8"/>
        <v>4</v>
      </c>
    </row>
    <row r="57" spans="1:12" x14ac:dyDescent="0.35">
      <c r="A57" s="60">
        <v>7</v>
      </c>
      <c r="B57" s="838" t="s">
        <v>1379</v>
      </c>
      <c r="C57" s="839"/>
      <c r="D57" s="839"/>
      <c r="E57" s="839"/>
      <c r="F57" s="53"/>
      <c r="G57" s="836">
        <v>1</v>
      </c>
      <c r="H57" s="837"/>
      <c r="I57" s="50">
        <v>1.63</v>
      </c>
      <c r="J57" s="783">
        <v>5</v>
      </c>
      <c r="K57" s="783"/>
      <c r="L57" s="3">
        <f t="shared" si="8"/>
        <v>5</v>
      </c>
    </row>
    <row r="58" spans="1:12" x14ac:dyDescent="0.35">
      <c r="A58" s="60">
        <v>8</v>
      </c>
      <c r="B58" s="838" t="s">
        <v>27</v>
      </c>
      <c r="C58" s="839"/>
      <c r="D58" s="839"/>
      <c r="E58" s="839"/>
      <c r="F58" s="53"/>
      <c r="G58" s="836">
        <v>1</v>
      </c>
      <c r="H58" s="837"/>
      <c r="I58" s="50">
        <v>1.44</v>
      </c>
      <c r="J58" s="783">
        <v>4</v>
      </c>
      <c r="K58" s="783"/>
      <c r="L58" s="3">
        <f t="shared" si="8"/>
        <v>4</v>
      </c>
    </row>
    <row r="59" spans="1:12" x14ac:dyDescent="0.35">
      <c r="A59" s="60">
        <v>9</v>
      </c>
      <c r="B59" s="838" t="s">
        <v>28</v>
      </c>
      <c r="C59" s="839"/>
      <c r="D59" s="839"/>
      <c r="E59" s="839"/>
      <c r="F59" s="53"/>
      <c r="G59" s="836">
        <v>1</v>
      </c>
      <c r="H59" s="837"/>
      <c r="I59" s="50">
        <v>1.63</v>
      </c>
      <c r="J59" s="783">
        <v>5</v>
      </c>
      <c r="K59" s="783"/>
      <c r="L59" s="3">
        <f t="shared" si="8"/>
        <v>5</v>
      </c>
    </row>
    <row r="60" spans="1:12" x14ac:dyDescent="0.35">
      <c r="A60" s="60">
        <v>10</v>
      </c>
      <c r="B60" s="838" t="s">
        <v>122</v>
      </c>
      <c r="C60" s="839"/>
      <c r="D60" s="839"/>
      <c r="E60" s="839"/>
      <c r="F60" s="53"/>
      <c r="G60" s="836">
        <v>2</v>
      </c>
      <c r="H60" s="837"/>
      <c r="I60" s="50">
        <v>1.44</v>
      </c>
      <c r="J60" s="783">
        <v>4</v>
      </c>
      <c r="K60" s="783"/>
      <c r="L60" s="3">
        <f t="shared" si="8"/>
        <v>8</v>
      </c>
    </row>
    <row r="61" spans="1:12" x14ac:dyDescent="0.35">
      <c r="A61" s="60">
        <v>11</v>
      </c>
      <c r="B61" s="838" t="s">
        <v>1054</v>
      </c>
      <c r="C61" s="839"/>
      <c r="D61" s="839"/>
      <c r="E61" s="839"/>
      <c r="F61" s="53"/>
      <c r="G61" s="836">
        <v>1</v>
      </c>
      <c r="H61" s="837"/>
      <c r="I61" s="50">
        <v>1.44</v>
      </c>
      <c r="J61" s="783">
        <v>4</v>
      </c>
      <c r="K61" s="783"/>
      <c r="L61" s="3">
        <f t="shared" ref="L61:L65" si="9">J61*G61</f>
        <v>4</v>
      </c>
    </row>
    <row r="62" spans="1:12" x14ac:dyDescent="0.35">
      <c r="A62" s="60">
        <v>12</v>
      </c>
      <c r="B62" s="838" t="s">
        <v>1381</v>
      </c>
      <c r="C62" s="839"/>
      <c r="D62" s="839"/>
      <c r="E62" s="839"/>
      <c r="F62" s="53"/>
      <c r="G62" s="836">
        <v>1</v>
      </c>
      <c r="H62" s="837"/>
      <c r="I62" s="50">
        <v>1.44</v>
      </c>
      <c r="J62" s="783">
        <v>4</v>
      </c>
      <c r="K62" s="783"/>
      <c r="L62" s="3">
        <f t="shared" si="9"/>
        <v>4</v>
      </c>
    </row>
    <row r="63" spans="1:12" x14ac:dyDescent="0.35">
      <c r="A63" s="60">
        <v>13</v>
      </c>
      <c r="B63" s="838" t="s">
        <v>1380</v>
      </c>
      <c r="C63" s="839"/>
      <c r="D63" s="839"/>
      <c r="E63" s="839"/>
      <c r="F63" s="53"/>
      <c r="G63" s="836">
        <v>1</v>
      </c>
      <c r="H63" s="837"/>
      <c r="I63" s="50">
        <v>1.63</v>
      </c>
      <c r="J63" s="783">
        <v>5</v>
      </c>
      <c r="K63" s="783"/>
      <c r="L63" s="3">
        <f t="shared" si="9"/>
        <v>5</v>
      </c>
    </row>
    <row r="64" spans="1:12" x14ac:dyDescent="0.35">
      <c r="A64" s="60">
        <v>14</v>
      </c>
      <c r="B64" s="335" t="s">
        <v>1056</v>
      </c>
      <c r="C64" s="336"/>
      <c r="D64" s="336"/>
      <c r="E64" s="336"/>
      <c r="F64" s="53"/>
      <c r="G64" s="836">
        <v>1</v>
      </c>
      <c r="H64" s="837"/>
      <c r="I64" s="50">
        <v>1.63</v>
      </c>
      <c r="J64" s="783">
        <v>5</v>
      </c>
      <c r="K64" s="783"/>
      <c r="L64" s="3">
        <f t="shared" si="9"/>
        <v>5</v>
      </c>
    </row>
    <row r="65" spans="1:12" x14ac:dyDescent="0.35">
      <c r="A65" s="60">
        <v>15</v>
      </c>
      <c r="B65" s="335" t="s">
        <v>1055</v>
      </c>
      <c r="C65" s="336"/>
      <c r="D65" s="336"/>
      <c r="E65" s="336"/>
      <c r="F65" s="53"/>
      <c r="G65" s="836">
        <v>1</v>
      </c>
      <c r="H65" s="837"/>
      <c r="I65" s="50">
        <v>1.44</v>
      </c>
      <c r="J65" s="783">
        <v>4</v>
      </c>
      <c r="K65" s="783"/>
      <c r="L65" s="3">
        <f t="shared" si="9"/>
        <v>4</v>
      </c>
    </row>
    <row r="66" spans="1:12" ht="15" thickBot="1" x14ac:dyDescent="0.4">
      <c r="A66" s="60">
        <v>16</v>
      </c>
      <c r="B66" s="838" t="s">
        <v>99</v>
      </c>
      <c r="C66" s="839"/>
      <c r="D66" s="839"/>
      <c r="E66" s="839"/>
      <c r="F66" s="53"/>
      <c r="G66" s="836">
        <v>2</v>
      </c>
      <c r="H66" s="837"/>
      <c r="I66" s="50">
        <v>1.44</v>
      </c>
      <c r="J66" s="783">
        <v>4</v>
      </c>
      <c r="K66" s="783"/>
      <c r="L66" s="3">
        <f t="shared" si="8"/>
        <v>8</v>
      </c>
    </row>
    <row r="67" spans="1:12" ht="15" thickBot="1" x14ac:dyDescent="0.4">
      <c r="A67" s="825" t="s">
        <v>15</v>
      </c>
      <c r="B67" s="826"/>
      <c r="C67" s="826"/>
      <c r="D67" s="826"/>
      <c r="E67" s="826"/>
      <c r="F67" s="826"/>
      <c r="G67" s="827">
        <f>SUM(G51:G66)</f>
        <v>18</v>
      </c>
      <c r="H67" s="875"/>
      <c r="I67" s="20"/>
      <c r="J67" s="876"/>
      <c r="K67" s="877"/>
      <c r="L67" s="21">
        <f>SUM(L51:L66)</f>
        <v>76</v>
      </c>
    </row>
    <row r="68" spans="1:12" ht="15" thickBot="1" x14ac:dyDescent="0.4">
      <c r="A68" s="841" t="s">
        <v>29</v>
      </c>
      <c r="B68" s="842"/>
      <c r="C68" s="842"/>
      <c r="D68" s="842"/>
      <c r="E68" s="842"/>
      <c r="F68" s="842"/>
      <c r="G68" s="842"/>
      <c r="H68" s="842"/>
      <c r="I68" s="843"/>
      <c r="J68" s="843"/>
      <c r="K68" s="843"/>
      <c r="L68" s="844"/>
    </row>
    <row r="69" spans="1:12" x14ac:dyDescent="0.35">
      <c r="A69" s="326" t="s">
        <v>30</v>
      </c>
      <c r="B69" s="845" t="s">
        <v>37</v>
      </c>
      <c r="C69" s="846"/>
      <c r="D69" s="846"/>
      <c r="E69" s="846"/>
      <c r="F69" s="847"/>
      <c r="G69" s="848">
        <v>1</v>
      </c>
      <c r="H69" s="848"/>
      <c r="I69" s="324">
        <v>1</v>
      </c>
      <c r="J69" s="849">
        <v>1</v>
      </c>
      <c r="K69" s="850"/>
      <c r="L69" s="325">
        <f>J69*G69</f>
        <v>1</v>
      </c>
    </row>
    <row r="70" spans="1:12" x14ac:dyDescent="0.35">
      <c r="A70" s="18" t="s">
        <v>32</v>
      </c>
      <c r="B70" s="873" t="s">
        <v>31</v>
      </c>
      <c r="C70" s="874"/>
      <c r="D70" s="874"/>
      <c r="E70" s="874"/>
      <c r="F70" s="53"/>
      <c r="G70" s="799">
        <v>2</v>
      </c>
      <c r="H70" s="799"/>
      <c r="I70" s="50">
        <v>1</v>
      </c>
      <c r="J70" s="783">
        <v>1</v>
      </c>
      <c r="K70" s="800"/>
      <c r="L70" s="3">
        <f>J70*G70</f>
        <v>2</v>
      </c>
    </row>
    <row r="71" spans="1:12" x14ac:dyDescent="0.35">
      <c r="A71" s="18" t="s">
        <v>34</v>
      </c>
      <c r="B71" s="838" t="s">
        <v>33</v>
      </c>
      <c r="C71" s="839"/>
      <c r="D71" s="839"/>
      <c r="E71" s="839"/>
      <c r="F71" s="53"/>
      <c r="G71" s="799">
        <v>1</v>
      </c>
      <c r="H71" s="799"/>
      <c r="I71" s="50">
        <v>1.1299999999999999</v>
      </c>
      <c r="J71" s="783">
        <v>2</v>
      </c>
      <c r="K71" s="800"/>
      <c r="L71" s="3">
        <f>J71*G71</f>
        <v>2</v>
      </c>
    </row>
    <row r="72" spans="1:12" ht="15" thickBot="1" x14ac:dyDescent="0.4">
      <c r="A72" s="327" t="s">
        <v>36</v>
      </c>
      <c r="B72" s="871" t="s">
        <v>35</v>
      </c>
      <c r="C72" s="872"/>
      <c r="D72" s="872"/>
      <c r="E72" s="872"/>
      <c r="F72" s="54"/>
      <c r="G72" s="868">
        <v>4</v>
      </c>
      <c r="H72" s="868"/>
      <c r="I72" s="19">
        <v>1</v>
      </c>
      <c r="J72" s="869">
        <v>1</v>
      </c>
      <c r="K72" s="869"/>
      <c r="L72" s="328">
        <f>J72*G72</f>
        <v>4</v>
      </c>
    </row>
    <row r="73" spans="1:12" ht="15" thickBot="1" x14ac:dyDescent="0.4">
      <c r="A73" s="851" t="s">
        <v>15</v>
      </c>
      <c r="B73" s="852"/>
      <c r="C73" s="852"/>
      <c r="D73" s="852"/>
      <c r="E73" s="852"/>
      <c r="F73" s="870"/>
      <c r="G73" s="841">
        <f>SUM(G69:G72)</f>
        <v>8</v>
      </c>
      <c r="H73" s="844"/>
      <c r="I73" s="20"/>
      <c r="J73" s="853"/>
      <c r="K73" s="854"/>
      <c r="L73" s="21">
        <f>SUM(L69:L72)</f>
        <v>9</v>
      </c>
    </row>
    <row r="74" spans="1:12" x14ac:dyDescent="0.35">
      <c r="A74" s="22"/>
      <c r="B74" s="866"/>
      <c r="C74" s="866"/>
      <c r="D74" s="866"/>
      <c r="E74" s="866"/>
      <c r="F74" s="866"/>
      <c r="G74" s="864"/>
      <c r="H74" s="864"/>
      <c r="I74" s="23"/>
      <c r="J74" s="859"/>
      <c r="K74" s="859"/>
      <c r="L74" s="24"/>
    </row>
    <row r="75" spans="1:12" x14ac:dyDescent="0.35">
      <c r="A75" s="25" t="s">
        <v>38</v>
      </c>
      <c r="B75" s="26"/>
      <c r="C75" s="26"/>
      <c r="D75" s="26"/>
      <c r="E75" s="26"/>
      <c r="F75" s="26"/>
      <c r="G75" s="865">
        <f>G23+G34+G48+G67+G73</f>
        <v>91</v>
      </c>
      <c r="H75" s="865"/>
      <c r="I75" s="14"/>
      <c r="J75" s="859"/>
      <c r="K75" s="859"/>
      <c r="L75" s="27">
        <f>L73+L67+L48+L34+L23</f>
        <v>464.5</v>
      </c>
    </row>
    <row r="76" spans="1:12" ht="24" customHeight="1" x14ac:dyDescent="0.35">
      <c r="A76" s="867" t="s">
        <v>39</v>
      </c>
      <c r="B76" s="867"/>
      <c r="C76" s="867"/>
      <c r="D76" s="867"/>
      <c r="E76" s="867"/>
      <c r="F76" s="867"/>
      <c r="G76" s="867"/>
      <c r="H76" s="867"/>
      <c r="I76" s="867"/>
      <c r="J76" s="867"/>
      <c r="K76" s="867"/>
      <c r="L76" s="867"/>
    </row>
    <row r="77" spans="1:12" x14ac:dyDescent="0.35">
      <c r="A77" s="22"/>
      <c r="B77" s="863" t="s">
        <v>40</v>
      </c>
      <c r="C77" s="863"/>
      <c r="D77" s="863"/>
      <c r="E77" s="863"/>
      <c r="F77" s="863"/>
      <c r="G77" s="864"/>
      <c r="H77" s="864"/>
      <c r="I77" s="23"/>
      <c r="J77" s="859"/>
      <c r="K77" s="859"/>
      <c r="L77" s="24"/>
    </row>
    <row r="78" spans="1:12" x14ac:dyDescent="0.35">
      <c r="A78" s="22"/>
      <c r="B78" s="26"/>
      <c r="C78" s="26"/>
      <c r="D78" s="26"/>
      <c r="E78" s="28" t="s">
        <v>1321</v>
      </c>
      <c r="F78" s="515">
        <f>451.5/90</f>
        <v>5.0166666666666666</v>
      </c>
      <c r="G78" s="865"/>
      <c r="H78" s="865"/>
      <c r="I78" s="23"/>
      <c r="J78" s="859"/>
      <c r="K78" s="859"/>
      <c r="L78" s="24"/>
    </row>
    <row r="79" spans="1:12" x14ac:dyDescent="0.35">
      <c r="A79" s="22"/>
      <c r="B79" s="26" t="s">
        <v>41</v>
      </c>
      <c r="C79" s="26"/>
      <c r="D79" s="26"/>
      <c r="E79" s="26" t="s">
        <v>1168</v>
      </c>
      <c r="F79" s="26"/>
      <c r="G79" s="26"/>
      <c r="H79" s="26"/>
      <c r="I79" s="23"/>
      <c r="J79" s="859"/>
      <c r="K79" s="859"/>
      <c r="L79" s="24"/>
    </row>
    <row r="80" spans="1:12" ht="8.25" customHeight="1" x14ac:dyDescent="0.35">
      <c r="A80" s="29"/>
      <c r="B80" s="30"/>
      <c r="C80" s="30"/>
      <c r="D80" s="30"/>
      <c r="E80" s="30"/>
      <c r="F80" s="30"/>
      <c r="G80" s="860"/>
      <c r="H80" s="860"/>
      <c r="I80" s="31"/>
      <c r="J80" s="861"/>
      <c r="K80" s="861"/>
    </row>
    <row r="81" spans="1:19" ht="42" customHeight="1" x14ac:dyDescent="0.35">
      <c r="A81" s="862" t="s">
        <v>954</v>
      </c>
      <c r="B81" s="862"/>
      <c r="C81" s="862"/>
      <c r="D81" s="862"/>
      <c r="E81" s="862"/>
      <c r="F81" s="862"/>
      <c r="G81" s="862"/>
      <c r="H81" s="862"/>
      <c r="I81" s="862"/>
      <c r="J81" s="862"/>
      <c r="K81" s="862"/>
      <c r="L81" s="862"/>
      <c r="M81" s="378"/>
      <c r="N81" s="378"/>
      <c r="O81" s="378"/>
      <c r="P81" s="378"/>
      <c r="Q81" s="378"/>
      <c r="R81" s="378"/>
      <c r="S81" s="377"/>
    </row>
    <row r="82" spans="1:19" ht="42" customHeight="1" x14ac:dyDescent="0.35">
      <c r="A82" s="490"/>
      <c r="B82" s="490"/>
      <c r="C82" s="490"/>
      <c r="D82" s="490"/>
      <c r="E82" s="490"/>
      <c r="F82" s="490"/>
      <c r="G82" s="490"/>
      <c r="H82" s="490"/>
      <c r="I82" s="490"/>
      <c r="J82" s="490"/>
      <c r="K82" s="490"/>
      <c r="L82" s="490"/>
      <c r="M82" s="378"/>
      <c r="N82" s="378"/>
      <c r="O82" s="378"/>
      <c r="P82" s="378"/>
      <c r="Q82" s="378"/>
      <c r="R82" s="378"/>
      <c r="S82" s="378"/>
    </row>
    <row r="83" spans="1:19" x14ac:dyDescent="0.35">
      <c r="B83" s="44" t="s">
        <v>1047</v>
      </c>
    </row>
  </sheetData>
  <mergeCells count="189">
    <mergeCell ref="B66:E66"/>
    <mergeCell ref="J73:K73"/>
    <mergeCell ref="B61:E61"/>
    <mergeCell ref="G61:H61"/>
    <mergeCell ref="J61:K61"/>
    <mergeCell ref="G65:H65"/>
    <mergeCell ref="J65:K65"/>
    <mergeCell ref="B63:E63"/>
    <mergeCell ref="G63:H63"/>
    <mergeCell ref="J63:K63"/>
    <mergeCell ref="G64:H64"/>
    <mergeCell ref="J64:K64"/>
    <mergeCell ref="B62:E62"/>
    <mergeCell ref="G62:H62"/>
    <mergeCell ref="J62:K62"/>
    <mergeCell ref="B70:E70"/>
    <mergeCell ref="B71:E71"/>
    <mergeCell ref="G70:H70"/>
    <mergeCell ref="J70:K70"/>
    <mergeCell ref="G71:H71"/>
    <mergeCell ref="J71:K71"/>
    <mergeCell ref="A67:F67"/>
    <mergeCell ref="G67:H67"/>
    <mergeCell ref="J67:K67"/>
    <mergeCell ref="J79:K79"/>
    <mergeCell ref="G80:H80"/>
    <mergeCell ref="J80:K80"/>
    <mergeCell ref="A81:L81"/>
    <mergeCell ref="B8:F8"/>
    <mergeCell ref="B77:F77"/>
    <mergeCell ref="G77:H77"/>
    <mergeCell ref="J77:K77"/>
    <mergeCell ref="G78:H78"/>
    <mergeCell ref="J78:K78"/>
    <mergeCell ref="B74:F74"/>
    <mergeCell ref="G74:H74"/>
    <mergeCell ref="J74:K74"/>
    <mergeCell ref="G75:H75"/>
    <mergeCell ref="J75:K75"/>
    <mergeCell ref="A76:L76"/>
    <mergeCell ref="G72:H72"/>
    <mergeCell ref="J72:K72"/>
    <mergeCell ref="A73:F73"/>
    <mergeCell ref="G73:H73"/>
    <mergeCell ref="G66:H66"/>
    <mergeCell ref="J66:K66"/>
    <mergeCell ref="B72:E72"/>
    <mergeCell ref="G59:H59"/>
    <mergeCell ref="J59:K59"/>
    <mergeCell ref="G60:H60"/>
    <mergeCell ref="J60:K60"/>
    <mergeCell ref="G57:H57"/>
    <mergeCell ref="J57:K57"/>
    <mergeCell ref="G58:H58"/>
    <mergeCell ref="J58:K58"/>
    <mergeCell ref="B57:E57"/>
    <mergeCell ref="B58:E58"/>
    <mergeCell ref="B59:E59"/>
    <mergeCell ref="B60:E60"/>
    <mergeCell ref="A68:L68"/>
    <mergeCell ref="B69:F69"/>
    <mergeCell ref="G69:H69"/>
    <mergeCell ref="J69:K69"/>
    <mergeCell ref="B56:E56"/>
    <mergeCell ref="G48:H48"/>
    <mergeCell ref="G52:H52"/>
    <mergeCell ref="J52:K52"/>
    <mergeCell ref="G53:H53"/>
    <mergeCell ref="J53:K53"/>
    <mergeCell ref="A48:F48"/>
    <mergeCell ref="J48:K48"/>
    <mergeCell ref="A49:F49"/>
    <mergeCell ref="A50:L50"/>
    <mergeCell ref="G51:H51"/>
    <mergeCell ref="J51:K51"/>
    <mergeCell ref="B51:E51"/>
    <mergeCell ref="B52:E52"/>
    <mergeCell ref="B53:E53"/>
    <mergeCell ref="B54:E54"/>
    <mergeCell ref="B55:E55"/>
    <mergeCell ref="G55:H55"/>
    <mergeCell ref="J55:K55"/>
    <mergeCell ref="G56:H56"/>
    <mergeCell ref="J56:K56"/>
    <mergeCell ref="G54:H54"/>
    <mergeCell ref="J54:K54"/>
    <mergeCell ref="B43:F43"/>
    <mergeCell ref="G43:H43"/>
    <mergeCell ref="J43:K43"/>
    <mergeCell ref="B44:F44"/>
    <mergeCell ref="G44:H44"/>
    <mergeCell ref="J44:K44"/>
    <mergeCell ref="B47:F47"/>
    <mergeCell ref="J47:K47"/>
    <mergeCell ref="B41:F41"/>
    <mergeCell ref="G41:H41"/>
    <mergeCell ref="J41:K41"/>
    <mergeCell ref="B42:F42"/>
    <mergeCell ref="G42:H42"/>
    <mergeCell ref="J42:K42"/>
    <mergeCell ref="G45:H45"/>
    <mergeCell ref="G46:H46"/>
    <mergeCell ref="B39:F39"/>
    <mergeCell ref="G39:H39"/>
    <mergeCell ref="J39:K39"/>
    <mergeCell ref="B40:F40"/>
    <mergeCell ref="G40:H40"/>
    <mergeCell ref="J40:K40"/>
    <mergeCell ref="B31:F31"/>
    <mergeCell ref="G31:H31"/>
    <mergeCell ref="J31:K31"/>
    <mergeCell ref="J14:K14"/>
    <mergeCell ref="A36:L36"/>
    <mergeCell ref="B37:F37"/>
    <mergeCell ref="G37:H37"/>
    <mergeCell ref="J37:K37"/>
    <mergeCell ref="B38:F38"/>
    <mergeCell ref="G38:H38"/>
    <mergeCell ref="J38:K38"/>
    <mergeCell ref="G33:H33"/>
    <mergeCell ref="J33:K33"/>
    <mergeCell ref="A34:F34"/>
    <mergeCell ref="G34:H34"/>
    <mergeCell ref="J34:K34"/>
    <mergeCell ref="B29:F29"/>
    <mergeCell ref="G29:H29"/>
    <mergeCell ref="J29:K29"/>
    <mergeCell ref="G32:H32"/>
    <mergeCell ref="J32:K32"/>
    <mergeCell ref="A23:F23"/>
    <mergeCell ref="G23:H23"/>
    <mergeCell ref="J23:K23"/>
    <mergeCell ref="G13:H13"/>
    <mergeCell ref="J13:K13"/>
    <mergeCell ref="J28:K28"/>
    <mergeCell ref="B26:F26"/>
    <mergeCell ref="B27:F27"/>
    <mergeCell ref="G26:H26"/>
    <mergeCell ref="G27:H27"/>
    <mergeCell ref="G30:H30"/>
    <mergeCell ref="J30:K30"/>
    <mergeCell ref="A25:L25"/>
    <mergeCell ref="B28:F28"/>
    <mergeCell ref="G28:H28"/>
    <mergeCell ref="B22:F22"/>
    <mergeCell ref="G22:H22"/>
    <mergeCell ref="J22:K22"/>
    <mergeCell ref="B20:F20"/>
    <mergeCell ref="G20:H20"/>
    <mergeCell ref="J20:K20"/>
    <mergeCell ref="B21:F21"/>
    <mergeCell ref="G21:H21"/>
    <mergeCell ref="J21:K21"/>
    <mergeCell ref="B18:F18"/>
    <mergeCell ref="G18:H18"/>
    <mergeCell ref="J18:K18"/>
    <mergeCell ref="B5:L5"/>
    <mergeCell ref="B15:F15"/>
    <mergeCell ref="G15:H15"/>
    <mergeCell ref="J15:K15"/>
    <mergeCell ref="B6:F6"/>
    <mergeCell ref="G6:H6"/>
    <mergeCell ref="J6:K6"/>
    <mergeCell ref="A7:K7"/>
    <mergeCell ref="G8:H8"/>
    <mergeCell ref="B14:F14"/>
    <mergeCell ref="G14:H14"/>
    <mergeCell ref="B9:F9"/>
    <mergeCell ref="G9:H9"/>
    <mergeCell ref="J9:K9"/>
    <mergeCell ref="B10:F10"/>
    <mergeCell ref="G10:H10"/>
    <mergeCell ref="J10:K10"/>
    <mergeCell ref="B11:F11"/>
    <mergeCell ref="G11:H11"/>
    <mergeCell ref="J11:K11"/>
    <mergeCell ref="B12:F12"/>
    <mergeCell ref="G12:H12"/>
    <mergeCell ref="J12:K12"/>
    <mergeCell ref="B13:F13"/>
    <mergeCell ref="B19:F19"/>
    <mergeCell ref="G19:H19"/>
    <mergeCell ref="J19:K19"/>
    <mergeCell ref="B16:F16"/>
    <mergeCell ref="G16:H16"/>
    <mergeCell ref="J16:K16"/>
    <mergeCell ref="B17:F17"/>
    <mergeCell ref="G17:H17"/>
    <mergeCell ref="J17:K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opLeftCell="A22" workbookViewId="0">
      <selection activeCell="H110" sqref="A99:H110"/>
    </sheetView>
  </sheetViews>
  <sheetFormatPr defaultRowHeight="14.5" x14ac:dyDescent="0.35"/>
  <cols>
    <col min="1" max="1" width="3.81640625" customWidth="1"/>
    <col min="2" max="2" width="16.7265625" customWidth="1"/>
    <col min="3" max="3" width="9.36328125" customWidth="1"/>
    <col min="4" max="4" width="5.26953125" customWidth="1"/>
    <col min="5" max="5" width="8.1796875" customWidth="1"/>
    <col min="6" max="6" width="6.1796875" customWidth="1"/>
    <col min="7" max="7" width="21.453125" customWidth="1"/>
    <col min="8" max="8" width="13.26953125" customWidth="1"/>
    <col min="9" max="9" width="9.6328125" customWidth="1"/>
  </cols>
  <sheetData>
    <row r="1" spans="1:8" x14ac:dyDescent="0.35">
      <c r="A1" s="584"/>
      <c r="B1" s="584"/>
      <c r="C1" s="584"/>
      <c r="D1" s="584"/>
      <c r="E1" s="584"/>
      <c r="F1" s="584"/>
      <c r="G1" s="584"/>
      <c r="H1" s="584"/>
    </row>
    <row r="2" spans="1:8" x14ac:dyDescent="0.35">
      <c r="A2" s="585"/>
      <c r="B2" s="1057" t="s">
        <v>1042</v>
      </c>
      <c r="C2" s="1057"/>
      <c r="D2" s="1057"/>
      <c r="E2" s="1057"/>
      <c r="F2" s="1057"/>
      <c r="G2" s="1057"/>
      <c r="H2" s="1"/>
    </row>
    <row r="3" spans="1:8" x14ac:dyDescent="0.35">
      <c r="A3" s="585"/>
      <c r="B3" s="585"/>
      <c r="C3" s="585"/>
      <c r="D3" s="585" t="s">
        <v>537</v>
      </c>
      <c r="E3" s="585"/>
      <c r="F3" s="585"/>
      <c r="G3" s="585"/>
      <c r="H3" s="1"/>
    </row>
    <row r="4" spans="1:8" ht="24" x14ac:dyDescent="0.35">
      <c r="A4" s="586" t="s">
        <v>296</v>
      </c>
      <c r="B4" s="587" t="s">
        <v>297</v>
      </c>
      <c r="C4" s="588" t="s">
        <v>1081</v>
      </c>
      <c r="D4" s="587"/>
      <c r="E4" s="587" t="s">
        <v>1066</v>
      </c>
      <c r="F4" s="587"/>
      <c r="G4" s="589"/>
      <c r="H4" s="589" t="s">
        <v>921</v>
      </c>
    </row>
    <row r="5" spans="1:8" ht="116.5" customHeight="1" x14ac:dyDescent="0.35">
      <c r="A5" s="586" t="s">
        <v>30</v>
      </c>
      <c r="B5" s="586" t="s">
        <v>298</v>
      </c>
      <c r="C5" s="586">
        <v>38</v>
      </c>
      <c r="D5" s="590"/>
      <c r="E5" s="591">
        <v>106.8</v>
      </c>
      <c r="F5" s="591"/>
      <c r="G5" s="588" t="s">
        <v>1068</v>
      </c>
      <c r="H5" s="592" t="s">
        <v>1067</v>
      </c>
    </row>
    <row r="6" spans="1:8" ht="62.5" customHeight="1" x14ac:dyDescent="0.35">
      <c r="A6" s="586" t="s">
        <v>32</v>
      </c>
      <c r="B6" s="588" t="s">
        <v>924</v>
      </c>
      <c r="C6" s="588">
        <v>222.2</v>
      </c>
      <c r="D6" s="591"/>
      <c r="E6" s="591">
        <v>360</v>
      </c>
      <c r="F6" s="591"/>
      <c r="G6" s="588" t="s">
        <v>1080</v>
      </c>
      <c r="H6" s="592" t="s">
        <v>1070</v>
      </c>
    </row>
    <row r="7" spans="1:8" ht="60" customHeight="1" x14ac:dyDescent="0.35">
      <c r="A7" s="586" t="s">
        <v>34</v>
      </c>
      <c r="B7" s="588" t="s">
        <v>299</v>
      </c>
      <c r="C7" s="588">
        <v>309.39999999999998</v>
      </c>
      <c r="D7" s="591"/>
      <c r="E7" s="674">
        <v>474.8</v>
      </c>
      <c r="F7" s="591"/>
      <c r="G7" s="588" t="s">
        <v>965</v>
      </c>
      <c r="H7" s="593" t="s">
        <v>1040</v>
      </c>
    </row>
    <row r="8" spans="1:8" ht="57.5" customHeight="1" x14ac:dyDescent="0.35">
      <c r="A8" s="586" t="s">
        <v>227</v>
      </c>
      <c r="B8" s="588" t="s">
        <v>867</v>
      </c>
      <c r="C8" s="588">
        <v>42.2</v>
      </c>
      <c r="D8" s="591"/>
      <c r="E8" s="591">
        <v>188.7</v>
      </c>
      <c r="F8" s="591"/>
      <c r="G8" s="588" t="s">
        <v>1023</v>
      </c>
      <c r="H8" s="593" t="s">
        <v>1040</v>
      </c>
    </row>
    <row r="9" spans="1:8" ht="106" customHeight="1" x14ac:dyDescent="0.35">
      <c r="A9" s="586" t="s">
        <v>300</v>
      </c>
      <c r="B9" s="586" t="s">
        <v>301</v>
      </c>
      <c r="C9" s="586">
        <v>242</v>
      </c>
      <c r="D9" s="591"/>
      <c r="E9" s="591">
        <v>397.2</v>
      </c>
      <c r="F9" s="591"/>
      <c r="G9" s="588" t="s">
        <v>1069</v>
      </c>
      <c r="H9" s="592" t="s">
        <v>1071</v>
      </c>
    </row>
    <row r="10" spans="1:8" ht="66" customHeight="1" x14ac:dyDescent="0.35">
      <c r="A10" s="586" t="s">
        <v>302</v>
      </c>
      <c r="B10" s="588" t="s">
        <v>303</v>
      </c>
      <c r="C10" s="588">
        <v>160</v>
      </c>
      <c r="D10" s="591"/>
      <c r="E10" s="591">
        <v>212.4</v>
      </c>
      <c r="F10" s="591"/>
      <c r="G10" s="588" t="s">
        <v>1072</v>
      </c>
      <c r="H10" s="592" t="s">
        <v>1041</v>
      </c>
    </row>
    <row r="11" spans="1:8" ht="24.5" x14ac:dyDescent="0.35">
      <c r="A11" s="586" t="s">
        <v>36</v>
      </c>
      <c r="B11" s="588" t="s">
        <v>1189</v>
      </c>
      <c r="C11" s="588">
        <v>30.6</v>
      </c>
      <c r="D11" s="591"/>
      <c r="E11" s="591">
        <v>28</v>
      </c>
      <c r="F11" s="591"/>
      <c r="G11" s="588" t="s">
        <v>1191</v>
      </c>
      <c r="H11" s="592" t="s">
        <v>1190</v>
      </c>
    </row>
    <row r="12" spans="1:8" ht="48.5" x14ac:dyDescent="0.35">
      <c r="A12" s="586">
        <v>8</v>
      </c>
      <c r="B12" s="588" t="s">
        <v>1221</v>
      </c>
      <c r="C12" s="588">
        <v>38</v>
      </c>
      <c r="D12" s="591"/>
      <c r="E12" s="591">
        <v>12</v>
      </c>
      <c r="F12" s="591"/>
      <c r="G12" s="592" t="s">
        <v>1222</v>
      </c>
      <c r="H12" s="592" t="s">
        <v>1223</v>
      </c>
    </row>
    <row r="13" spans="1:8" ht="36.5" x14ac:dyDescent="0.35">
      <c r="A13" s="586">
        <v>9</v>
      </c>
      <c r="B13" s="588" t="s">
        <v>1225</v>
      </c>
      <c r="C13" s="588">
        <v>36.5</v>
      </c>
      <c r="D13" s="591"/>
      <c r="E13" s="591">
        <v>31.2</v>
      </c>
      <c r="F13" s="591"/>
      <c r="G13" s="588" t="s">
        <v>1317</v>
      </c>
      <c r="H13" s="592" t="s">
        <v>1224</v>
      </c>
    </row>
    <row r="14" spans="1:8" x14ac:dyDescent="0.35">
      <c r="A14" s="651">
        <v>10</v>
      </c>
      <c r="B14" s="1058" t="s">
        <v>306</v>
      </c>
      <c r="C14" s="1059"/>
      <c r="D14" s="1059"/>
      <c r="E14" s="1059"/>
      <c r="F14" s="1059"/>
      <c r="G14" s="1059"/>
      <c r="H14" s="1"/>
    </row>
    <row r="15" spans="1:8" ht="47" x14ac:dyDescent="0.35">
      <c r="A15" s="594" t="s">
        <v>870</v>
      </c>
      <c r="B15" s="588" t="s">
        <v>1193</v>
      </c>
      <c r="C15" s="588">
        <v>12</v>
      </c>
      <c r="D15" s="591"/>
      <c r="E15" s="591">
        <v>91.2</v>
      </c>
      <c r="F15" s="591"/>
      <c r="G15" s="588" t="s">
        <v>1220</v>
      </c>
      <c r="H15" s="592" t="s">
        <v>1192</v>
      </c>
    </row>
    <row r="16" spans="1:8" ht="58.5" x14ac:dyDescent="0.35">
      <c r="A16" s="594" t="s">
        <v>871</v>
      </c>
      <c r="B16" s="588" t="s">
        <v>307</v>
      </c>
      <c r="C16" s="588">
        <v>6.5</v>
      </c>
      <c r="D16" s="591"/>
      <c r="E16" s="591">
        <v>25</v>
      </c>
      <c r="F16" s="591"/>
      <c r="G16" s="588" t="s">
        <v>923</v>
      </c>
      <c r="H16" s="592" t="s">
        <v>1073</v>
      </c>
    </row>
    <row r="17" spans="1:9" ht="24.5" x14ac:dyDescent="0.35">
      <c r="A17" s="594" t="s">
        <v>19</v>
      </c>
      <c r="B17" s="588" t="s">
        <v>308</v>
      </c>
      <c r="C17" s="588">
        <v>19.8</v>
      </c>
      <c r="D17" s="591"/>
      <c r="E17" s="591">
        <v>20</v>
      </c>
      <c r="F17" s="591"/>
      <c r="G17" s="588" t="s">
        <v>1039</v>
      </c>
      <c r="H17" s="592" t="s">
        <v>1043</v>
      </c>
    </row>
    <row r="18" spans="1:9" ht="58.5" x14ac:dyDescent="0.35">
      <c r="A18" s="586">
        <v>4</v>
      </c>
      <c r="B18" s="588" t="s">
        <v>1316</v>
      </c>
      <c r="C18" s="588">
        <v>17.7</v>
      </c>
      <c r="D18" s="591"/>
      <c r="E18" s="591">
        <v>29.1</v>
      </c>
      <c r="F18" s="591"/>
      <c r="G18" s="588" t="s">
        <v>1091</v>
      </c>
      <c r="H18" s="588" t="s">
        <v>1074</v>
      </c>
    </row>
    <row r="19" spans="1:9" x14ac:dyDescent="0.35">
      <c r="A19" s="586">
        <v>7</v>
      </c>
      <c r="B19" s="588" t="s">
        <v>309</v>
      </c>
      <c r="C19" s="588">
        <v>5.9</v>
      </c>
      <c r="D19" s="591"/>
      <c r="E19" s="591">
        <v>19.2</v>
      </c>
      <c r="F19" s="591"/>
      <c r="G19" s="586" t="s">
        <v>922</v>
      </c>
      <c r="H19" s="592" t="s">
        <v>1040</v>
      </c>
    </row>
    <row r="20" spans="1:9" ht="47.5" customHeight="1" x14ac:dyDescent="0.35">
      <c r="A20" s="586">
        <v>8</v>
      </c>
      <c r="B20" s="588" t="s">
        <v>930</v>
      </c>
      <c r="C20" s="588">
        <v>33</v>
      </c>
      <c r="D20" s="591"/>
      <c r="E20" s="591">
        <v>155</v>
      </c>
      <c r="F20" s="591"/>
      <c r="G20" s="588" t="s">
        <v>1037</v>
      </c>
      <c r="H20" s="592" t="s">
        <v>1040</v>
      </c>
    </row>
    <row r="21" spans="1:9" ht="35.5" x14ac:dyDescent="0.35">
      <c r="A21" s="586">
        <v>11</v>
      </c>
      <c r="B21" s="588" t="s">
        <v>949</v>
      </c>
      <c r="C21" s="588">
        <v>166</v>
      </c>
      <c r="D21" s="586"/>
      <c r="E21" s="586">
        <v>992.5</v>
      </c>
      <c r="F21" s="586"/>
      <c r="G21" s="588" t="s">
        <v>1033</v>
      </c>
      <c r="H21" s="592" t="s">
        <v>1040</v>
      </c>
    </row>
    <row r="22" spans="1:9" ht="39" customHeight="1" x14ac:dyDescent="0.35">
      <c r="A22" s="586">
        <v>12</v>
      </c>
      <c r="B22" s="588" t="s">
        <v>1031</v>
      </c>
      <c r="C22" s="588">
        <v>108</v>
      </c>
      <c r="D22" s="586"/>
      <c r="E22" s="586">
        <v>144</v>
      </c>
      <c r="F22" s="586"/>
      <c r="G22" s="588" t="s">
        <v>1075</v>
      </c>
      <c r="H22" s="588" t="s">
        <v>1032</v>
      </c>
    </row>
    <row r="23" spans="1:9" ht="24" customHeight="1" x14ac:dyDescent="0.35">
      <c r="A23" s="586">
        <v>13</v>
      </c>
      <c r="B23" s="588" t="s">
        <v>1261</v>
      </c>
      <c r="C23" s="588"/>
      <c r="D23" s="586"/>
      <c r="E23" s="586">
        <v>6</v>
      </c>
      <c r="F23" s="586"/>
      <c r="G23" s="588"/>
      <c r="H23" s="588"/>
    </row>
    <row r="24" spans="1:9" ht="49.5" customHeight="1" x14ac:dyDescent="0.35">
      <c r="A24" s="586">
        <v>14</v>
      </c>
      <c r="B24" s="603" t="s">
        <v>1038</v>
      </c>
      <c r="C24" s="588">
        <v>19.5</v>
      </c>
      <c r="D24" s="586"/>
      <c r="E24" s="586">
        <v>34</v>
      </c>
      <c r="F24" s="586"/>
      <c r="G24" s="588" t="s">
        <v>1044</v>
      </c>
      <c r="H24" s="588" t="s">
        <v>1076</v>
      </c>
    </row>
    <row r="25" spans="1:9" x14ac:dyDescent="0.35">
      <c r="A25" s="586"/>
      <c r="B25" s="586" t="s">
        <v>1045</v>
      </c>
      <c r="C25" s="595">
        <f>SUM(C5:C24)</f>
        <v>1507.3</v>
      </c>
      <c r="D25" s="595">
        <f>SUM(D5:D24)</f>
        <v>0</v>
      </c>
      <c r="E25" s="595">
        <f>SUM(E5:E24)</f>
        <v>3327.1000000000004</v>
      </c>
      <c r="F25" s="595">
        <f>SUM(F5:F24)</f>
        <v>0</v>
      </c>
      <c r="G25" s="586"/>
      <c r="H25" s="593"/>
    </row>
    <row r="26" spans="1:9" x14ac:dyDescent="0.35">
      <c r="A26" s="596"/>
      <c r="B26" s="596"/>
      <c r="C26" s="596"/>
      <c r="D26" s="1"/>
      <c r="E26" s="1"/>
      <c r="F26" s="1"/>
      <c r="G26" s="1"/>
      <c r="H26" s="1"/>
    </row>
    <row r="27" spans="1:9" x14ac:dyDescent="0.35">
      <c r="A27" s="1"/>
      <c r="B27" s="1" t="s">
        <v>10</v>
      </c>
      <c r="C27" s="1"/>
      <c r="D27" s="1"/>
      <c r="E27" s="1"/>
      <c r="F27" s="1"/>
      <c r="G27" s="1" t="s">
        <v>1169</v>
      </c>
      <c r="H27" s="1"/>
    </row>
    <row r="28" spans="1:9" x14ac:dyDescent="0.35">
      <c r="A28" s="44"/>
      <c r="B28" s="44"/>
      <c r="C28" s="44"/>
      <c r="D28" s="44"/>
      <c r="E28" s="44"/>
      <c r="F28" s="44"/>
      <c r="G28" s="44"/>
      <c r="H28" s="44"/>
    </row>
    <row r="30" spans="1:9" x14ac:dyDescent="0.35">
      <c r="B30" t="s">
        <v>1046</v>
      </c>
    </row>
    <row r="32" spans="1:9" x14ac:dyDescent="0.35">
      <c r="B32" s="319" t="s">
        <v>966</v>
      </c>
      <c r="C32" s="319"/>
      <c r="D32" s="315" t="s">
        <v>1077</v>
      </c>
      <c r="E32" s="315" t="s">
        <v>744</v>
      </c>
      <c r="F32" s="41" t="s">
        <v>976</v>
      </c>
      <c r="G32" s="362" t="s">
        <v>1078</v>
      </c>
      <c r="H32" s="317" t="s">
        <v>1079</v>
      </c>
      <c r="I32" s="317" t="s">
        <v>745</v>
      </c>
    </row>
    <row r="33" spans="2:9" x14ac:dyDescent="0.35">
      <c r="B33" s="315" t="s">
        <v>967</v>
      </c>
      <c r="C33" s="315"/>
      <c r="D33" s="315">
        <v>5</v>
      </c>
      <c r="E33" s="41">
        <v>50</v>
      </c>
      <c r="F33" s="41">
        <f>D33*E33</f>
        <v>250</v>
      </c>
      <c r="G33" s="315">
        <v>1</v>
      </c>
      <c r="H33" s="315">
        <v>4</v>
      </c>
      <c r="I33" s="41">
        <f>H33*E33</f>
        <v>200</v>
      </c>
    </row>
    <row r="34" spans="2:9" x14ac:dyDescent="0.35">
      <c r="B34" s="315" t="s">
        <v>968</v>
      </c>
      <c r="C34" s="315"/>
      <c r="D34" s="41">
        <v>2</v>
      </c>
      <c r="E34" s="41">
        <v>15</v>
      </c>
      <c r="F34" s="41">
        <f t="shared" ref="F34:F36" si="0">D34*E34</f>
        <v>30</v>
      </c>
      <c r="G34" s="41"/>
      <c r="H34" s="41">
        <v>2</v>
      </c>
      <c r="I34" s="41">
        <f>H34*E34</f>
        <v>30</v>
      </c>
    </row>
    <row r="35" spans="2:9" x14ac:dyDescent="0.35">
      <c r="B35" s="315" t="s">
        <v>969</v>
      </c>
      <c r="C35" s="315"/>
      <c r="D35" s="41">
        <v>1</v>
      </c>
      <c r="E35" s="41">
        <v>10</v>
      </c>
      <c r="F35" s="41">
        <f t="shared" si="0"/>
        <v>10</v>
      </c>
      <c r="G35" s="41"/>
      <c r="H35" s="41">
        <v>1</v>
      </c>
      <c r="I35" s="41">
        <f>H35*E35</f>
        <v>10</v>
      </c>
    </row>
    <row r="36" spans="2:9" x14ac:dyDescent="0.35">
      <c r="B36" s="316" t="s">
        <v>970</v>
      </c>
      <c r="C36" s="316"/>
      <c r="D36" s="317">
        <v>5</v>
      </c>
      <c r="E36" s="41">
        <v>2.5</v>
      </c>
      <c r="F36" s="41">
        <f t="shared" si="0"/>
        <v>12.5</v>
      </c>
      <c r="G36" s="317"/>
      <c r="H36" s="317">
        <v>5</v>
      </c>
      <c r="I36" s="41">
        <f>H36*E36</f>
        <v>12.5</v>
      </c>
    </row>
    <row r="37" spans="2:9" x14ac:dyDescent="0.35">
      <c r="B37" s="318" t="s">
        <v>971</v>
      </c>
      <c r="C37" s="318"/>
      <c r="D37" s="317"/>
      <c r="E37" s="41"/>
      <c r="F37" s="41"/>
      <c r="G37" s="317"/>
      <c r="H37" s="317"/>
      <c r="I37" s="41"/>
    </row>
    <row r="38" spans="2:9" x14ac:dyDescent="0.35">
      <c r="B38" s="315" t="s">
        <v>967</v>
      </c>
      <c r="C38" s="315"/>
      <c r="D38" s="315">
        <v>1</v>
      </c>
      <c r="E38" s="41">
        <v>50</v>
      </c>
      <c r="F38" s="41">
        <f>D38*E38</f>
        <v>50</v>
      </c>
      <c r="G38" s="315">
        <v>1</v>
      </c>
      <c r="H38" s="315">
        <v>0</v>
      </c>
      <c r="I38" s="41"/>
    </row>
    <row r="39" spans="2:9" x14ac:dyDescent="0.35">
      <c r="B39" s="315" t="s">
        <v>968</v>
      </c>
      <c r="C39" s="315"/>
      <c r="D39" s="41">
        <v>1</v>
      </c>
      <c r="E39" s="41">
        <v>15</v>
      </c>
      <c r="F39" s="41">
        <f t="shared" ref="F39:F41" si="1">D39*E39</f>
        <v>15</v>
      </c>
      <c r="G39" s="41"/>
      <c r="H39" s="41">
        <v>1</v>
      </c>
      <c r="I39" s="41">
        <f>H39*E39</f>
        <v>15</v>
      </c>
    </row>
    <row r="40" spans="2:9" x14ac:dyDescent="0.35">
      <c r="B40" s="315" t="s">
        <v>969</v>
      </c>
      <c r="C40" s="315"/>
      <c r="D40" s="41">
        <v>1</v>
      </c>
      <c r="E40" s="41">
        <v>10</v>
      </c>
      <c r="F40" s="41">
        <f t="shared" si="1"/>
        <v>10</v>
      </c>
      <c r="G40" s="41"/>
      <c r="H40" s="41">
        <v>1</v>
      </c>
      <c r="I40" s="41">
        <f>H40*E40</f>
        <v>10</v>
      </c>
    </row>
    <row r="41" spans="2:9" x14ac:dyDescent="0.35">
      <c r="B41" s="316" t="s">
        <v>970</v>
      </c>
      <c r="C41" s="316"/>
      <c r="D41" s="317">
        <v>1</v>
      </c>
      <c r="E41" s="41">
        <v>2.5</v>
      </c>
      <c r="F41" s="41">
        <f t="shared" si="1"/>
        <v>2.5</v>
      </c>
      <c r="G41" s="317"/>
      <c r="H41" s="317">
        <v>1</v>
      </c>
      <c r="I41" s="41">
        <f>H41*E41</f>
        <v>2.5</v>
      </c>
    </row>
    <row r="42" spans="2:9" x14ac:dyDescent="0.35">
      <c r="B42" s="318" t="s">
        <v>972</v>
      </c>
      <c r="C42" s="318"/>
      <c r="D42" s="41"/>
      <c r="E42" s="41"/>
      <c r="F42" s="41"/>
      <c r="G42" s="41"/>
      <c r="H42" s="41"/>
      <c r="I42" s="41"/>
    </row>
    <row r="43" spans="2:9" x14ac:dyDescent="0.35">
      <c r="B43" s="315" t="s">
        <v>967</v>
      </c>
      <c r="C43" s="315"/>
      <c r="D43" s="41">
        <v>2</v>
      </c>
      <c r="E43" s="41">
        <v>50</v>
      </c>
      <c r="F43" s="41">
        <f>D43*E43</f>
        <v>100</v>
      </c>
      <c r="G43" s="41"/>
      <c r="H43" s="41">
        <v>2</v>
      </c>
      <c r="I43" s="41">
        <f>H43*E43</f>
        <v>100</v>
      </c>
    </row>
    <row r="44" spans="2:9" x14ac:dyDescent="0.35">
      <c r="B44" s="315" t="s">
        <v>968</v>
      </c>
      <c r="C44" s="315"/>
      <c r="D44" s="41">
        <v>2</v>
      </c>
      <c r="E44" s="41">
        <v>15</v>
      </c>
      <c r="F44" s="41">
        <f t="shared" ref="F44:F46" si="2">D44*E44</f>
        <v>30</v>
      </c>
      <c r="G44" s="41"/>
      <c r="H44" s="41">
        <v>2</v>
      </c>
      <c r="I44" s="41">
        <f>H44*E44</f>
        <v>30</v>
      </c>
    </row>
    <row r="45" spans="2:9" x14ac:dyDescent="0.35">
      <c r="B45" s="315" t="s">
        <v>969</v>
      </c>
      <c r="C45" s="315"/>
      <c r="D45" s="41">
        <v>1</v>
      </c>
      <c r="E45" s="41">
        <v>10</v>
      </c>
      <c r="F45" s="41">
        <f t="shared" si="2"/>
        <v>10</v>
      </c>
      <c r="G45" s="41"/>
      <c r="H45" s="41">
        <v>1</v>
      </c>
      <c r="I45" s="41">
        <f>H45*E45</f>
        <v>10</v>
      </c>
    </row>
    <row r="46" spans="2:9" x14ac:dyDescent="0.35">
      <c r="B46" s="316" t="s">
        <v>970</v>
      </c>
      <c r="C46" s="316"/>
      <c r="D46" s="41">
        <v>2</v>
      </c>
      <c r="E46" s="41">
        <v>2.5</v>
      </c>
      <c r="F46" s="41">
        <f t="shared" si="2"/>
        <v>5</v>
      </c>
      <c r="G46" s="41"/>
      <c r="H46" s="41">
        <v>2</v>
      </c>
      <c r="I46" s="41">
        <f>H46*E46</f>
        <v>5</v>
      </c>
    </row>
    <row r="47" spans="2:9" x14ac:dyDescent="0.35">
      <c r="B47" s="318" t="s">
        <v>973</v>
      </c>
      <c r="C47" s="318"/>
      <c r="D47" s="41"/>
      <c r="E47" s="41"/>
      <c r="F47" s="41"/>
      <c r="G47" s="41"/>
      <c r="H47" s="41"/>
      <c r="I47" s="41"/>
    </row>
    <row r="48" spans="2:9" x14ac:dyDescent="0.35">
      <c r="B48" s="315" t="s">
        <v>967</v>
      </c>
      <c r="C48" s="315"/>
      <c r="D48" s="41">
        <v>2</v>
      </c>
      <c r="E48" s="41">
        <v>50</v>
      </c>
      <c r="F48" s="41">
        <f>D48*E48</f>
        <v>100</v>
      </c>
      <c r="G48" s="41"/>
      <c r="H48" s="41">
        <v>2</v>
      </c>
      <c r="I48" s="41">
        <f>H48*E48</f>
        <v>100</v>
      </c>
    </row>
    <row r="49" spans="2:9" x14ac:dyDescent="0.35">
      <c r="B49" s="315" t="s">
        <v>968</v>
      </c>
      <c r="C49" s="315"/>
      <c r="D49" s="41">
        <v>1</v>
      </c>
      <c r="E49" s="41">
        <v>15</v>
      </c>
      <c r="F49" s="41">
        <f t="shared" ref="F49:F51" si="3">D49*E49</f>
        <v>15</v>
      </c>
      <c r="G49" s="41"/>
      <c r="H49" s="41">
        <v>1</v>
      </c>
      <c r="I49" s="41">
        <f>H49*E49</f>
        <v>15</v>
      </c>
    </row>
    <row r="50" spans="2:9" x14ac:dyDescent="0.35">
      <c r="B50" s="315" t="s">
        <v>969</v>
      </c>
      <c r="C50" s="315"/>
      <c r="D50" s="41">
        <v>1</v>
      </c>
      <c r="E50" s="41">
        <v>10</v>
      </c>
      <c r="F50" s="41">
        <f t="shared" si="3"/>
        <v>10</v>
      </c>
      <c r="G50" s="41"/>
      <c r="H50" s="41">
        <v>1</v>
      </c>
      <c r="I50" s="41">
        <f>H50*E50</f>
        <v>10</v>
      </c>
    </row>
    <row r="51" spans="2:9" x14ac:dyDescent="0.35">
      <c r="B51" s="316" t="s">
        <v>970</v>
      </c>
      <c r="C51" s="316"/>
      <c r="D51" s="41">
        <v>2</v>
      </c>
      <c r="E51" s="41">
        <v>2.5</v>
      </c>
      <c r="F51" s="41">
        <f t="shared" si="3"/>
        <v>5</v>
      </c>
      <c r="G51" s="41"/>
      <c r="H51" s="41">
        <v>2</v>
      </c>
      <c r="I51" s="41">
        <f>H51*E51</f>
        <v>5</v>
      </c>
    </row>
    <row r="52" spans="2:9" x14ac:dyDescent="0.35">
      <c r="B52" s="318" t="s">
        <v>974</v>
      </c>
      <c r="C52" s="318"/>
      <c r="D52" s="41"/>
      <c r="E52" s="41"/>
      <c r="F52" s="41"/>
      <c r="G52" s="41"/>
      <c r="H52" s="41"/>
      <c r="I52" s="41"/>
    </row>
    <row r="53" spans="2:9" x14ac:dyDescent="0.35">
      <c r="B53" s="315" t="s">
        <v>967</v>
      </c>
      <c r="C53" s="315"/>
      <c r="D53" s="41">
        <v>2</v>
      </c>
      <c r="E53" s="41">
        <v>50</v>
      </c>
      <c r="F53" s="41">
        <f>D53*E53</f>
        <v>100</v>
      </c>
      <c r="G53" s="41">
        <v>2</v>
      </c>
      <c r="H53" s="41">
        <v>0</v>
      </c>
      <c r="I53" s="41"/>
    </row>
    <row r="54" spans="2:9" x14ac:dyDescent="0.35">
      <c r="B54" s="315" t="s">
        <v>968</v>
      </c>
      <c r="C54" s="315"/>
      <c r="D54" s="41">
        <v>2</v>
      </c>
      <c r="E54" s="41">
        <v>15</v>
      </c>
      <c r="F54" s="41">
        <f t="shared" ref="F54:F56" si="4">D54*E54</f>
        <v>30</v>
      </c>
      <c r="G54" s="41"/>
      <c r="H54" s="41">
        <v>2</v>
      </c>
      <c r="I54" s="41">
        <f>H54*E54</f>
        <v>30</v>
      </c>
    </row>
    <row r="55" spans="2:9" x14ac:dyDescent="0.35">
      <c r="B55" s="315" t="s">
        <v>969</v>
      </c>
      <c r="C55" s="315"/>
      <c r="D55" s="41">
        <v>2</v>
      </c>
      <c r="E55" s="41">
        <v>10</v>
      </c>
      <c r="F55" s="41">
        <f t="shared" si="4"/>
        <v>20</v>
      </c>
      <c r="G55" s="41"/>
      <c r="H55" s="41">
        <v>2</v>
      </c>
      <c r="I55" s="41">
        <f>H55*E55</f>
        <v>20</v>
      </c>
    </row>
    <row r="56" spans="2:9" x14ac:dyDescent="0.35">
      <c r="B56" s="316" t="s">
        <v>970</v>
      </c>
      <c r="C56" s="316"/>
      <c r="D56" s="41">
        <v>2</v>
      </c>
      <c r="E56" s="41">
        <v>2.5</v>
      </c>
      <c r="F56" s="41">
        <f t="shared" si="4"/>
        <v>5</v>
      </c>
      <c r="G56" s="41"/>
      <c r="H56" s="41">
        <v>2</v>
      </c>
      <c r="I56" s="41">
        <f>H56*E56</f>
        <v>5</v>
      </c>
    </row>
    <row r="57" spans="2:9" x14ac:dyDescent="0.35">
      <c r="B57" s="318" t="s">
        <v>975</v>
      </c>
      <c r="C57" s="318"/>
      <c r="D57" s="41"/>
      <c r="E57" s="41"/>
      <c r="F57" s="41"/>
      <c r="G57" s="41"/>
      <c r="H57" s="41"/>
      <c r="I57" s="41"/>
    </row>
    <row r="58" spans="2:9" x14ac:dyDescent="0.35">
      <c r="B58" s="315" t="s">
        <v>967</v>
      </c>
      <c r="C58" s="315"/>
      <c r="D58" s="41">
        <v>7</v>
      </c>
      <c r="E58" s="41">
        <v>50</v>
      </c>
      <c r="F58" s="41">
        <f>D58*E58</f>
        <v>350</v>
      </c>
      <c r="G58" s="41">
        <v>1</v>
      </c>
      <c r="H58" s="41">
        <v>6</v>
      </c>
      <c r="I58" s="41">
        <f>H58*E58</f>
        <v>300</v>
      </c>
    </row>
    <row r="59" spans="2:9" x14ac:dyDescent="0.35">
      <c r="B59" s="315" t="s">
        <v>968</v>
      </c>
      <c r="C59" s="315"/>
      <c r="D59" s="41">
        <v>3</v>
      </c>
      <c r="E59" s="41">
        <v>15</v>
      </c>
      <c r="F59" s="41">
        <f t="shared" ref="F59:F61" si="5">D59*E59</f>
        <v>45</v>
      </c>
      <c r="G59" s="41"/>
      <c r="H59" s="41">
        <v>3</v>
      </c>
      <c r="I59" s="41">
        <f>H59*E59</f>
        <v>45</v>
      </c>
    </row>
    <row r="60" spans="2:9" x14ac:dyDescent="0.35">
      <c r="B60" s="315" t="s">
        <v>969</v>
      </c>
      <c r="C60" s="315"/>
      <c r="D60" s="41">
        <v>2</v>
      </c>
      <c r="E60" s="41">
        <v>10</v>
      </c>
      <c r="F60" s="41">
        <f t="shared" si="5"/>
        <v>20</v>
      </c>
      <c r="G60" s="41"/>
      <c r="H60" s="41">
        <v>2</v>
      </c>
      <c r="I60" s="41">
        <f>H60*E60</f>
        <v>20</v>
      </c>
    </row>
    <row r="61" spans="2:9" x14ac:dyDescent="0.35">
      <c r="B61" s="316" t="s">
        <v>970</v>
      </c>
      <c r="C61" s="316"/>
      <c r="D61" s="41">
        <v>7</v>
      </c>
      <c r="E61" s="41">
        <v>2.5</v>
      </c>
      <c r="F61" s="41">
        <f t="shared" si="5"/>
        <v>17.5</v>
      </c>
      <c r="G61" s="41"/>
      <c r="H61" s="41">
        <v>7</v>
      </c>
      <c r="I61" s="41">
        <f>H61*E61</f>
        <v>17.5</v>
      </c>
    </row>
    <row r="62" spans="2:9" x14ac:dyDescent="0.35">
      <c r="B62" s="1053" t="s">
        <v>977</v>
      </c>
      <c r="C62" s="1054"/>
      <c r="D62" s="1054"/>
      <c r="E62" s="1055"/>
      <c r="F62" s="41">
        <f>SUM(F33:F61)</f>
        <v>1242.5</v>
      </c>
      <c r="G62" s="41">
        <v>5</v>
      </c>
      <c r="H62" s="41"/>
      <c r="I62" s="41">
        <f>SUM(I33:I61)</f>
        <v>992.5</v>
      </c>
    </row>
    <row r="63" spans="2:9" x14ac:dyDescent="0.35">
      <c r="B63" s="722"/>
      <c r="C63" s="722"/>
      <c r="D63" s="722"/>
      <c r="E63" s="722"/>
      <c r="F63" s="29"/>
      <c r="G63" s="29"/>
      <c r="H63" s="29"/>
      <c r="I63" s="29"/>
    </row>
    <row r="64" spans="2:9" x14ac:dyDescent="0.35">
      <c r="B64" s="673" t="s">
        <v>10</v>
      </c>
      <c r="E64" t="s">
        <v>1169</v>
      </c>
      <c r="G64" s="29"/>
      <c r="H64" s="29"/>
      <c r="I64" s="29"/>
    </row>
    <row r="66" spans="2:7" x14ac:dyDescent="0.35">
      <c r="B66" s="29" t="s">
        <v>1318</v>
      </c>
      <c r="C66" s="29"/>
    </row>
    <row r="67" spans="2:7" x14ac:dyDescent="0.35">
      <c r="B67" t="s">
        <v>990</v>
      </c>
      <c r="G67" t="s">
        <v>931</v>
      </c>
    </row>
    <row r="68" spans="2:7" x14ac:dyDescent="0.35">
      <c r="B68" s="41"/>
      <c r="C68" s="41"/>
      <c r="D68" s="41" t="s">
        <v>55</v>
      </c>
      <c r="E68" s="41" t="s">
        <v>86</v>
      </c>
      <c r="F68" s="41" t="s">
        <v>744</v>
      </c>
      <c r="G68" s="41" t="s">
        <v>745</v>
      </c>
    </row>
    <row r="69" spans="2:7" x14ac:dyDescent="0.35">
      <c r="B69" s="41" t="s">
        <v>978</v>
      </c>
      <c r="C69" s="41"/>
      <c r="D69" s="41" t="s">
        <v>987</v>
      </c>
      <c r="E69" s="41">
        <v>20</v>
      </c>
      <c r="F69" s="41">
        <v>144</v>
      </c>
      <c r="G69" s="41">
        <f t="shared" ref="G69:G80" si="6">E69*F69</f>
        <v>2880</v>
      </c>
    </row>
    <row r="70" spans="2:7" x14ac:dyDescent="0.35">
      <c r="B70" s="41" t="s">
        <v>979</v>
      </c>
      <c r="C70" s="41"/>
      <c r="D70" s="41" t="s">
        <v>987</v>
      </c>
      <c r="E70" s="41">
        <v>20</v>
      </c>
      <c r="F70" s="41">
        <v>87</v>
      </c>
      <c r="G70" s="41">
        <f t="shared" si="6"/>
        <v>1740</v>
      </c>
    </row>
    <row r="71" spans="2:7" x14ac:dyDescent="0.35">
      <c r="B71" s="41" t="s">
        <v>980</v>
      </c>
      <c r="C71" s="41"/>
      <c r="D71" s="41" t="s">
        <v>987</v>
      </c>
      <c r="E71" s="41">
        <v>15</v>
      </c>
      <c r="F71" s="41">
        <v>259</v>
      </c>
      <c r="G71" s="41">
        <f t="shared" si="6"/>
        <v>3885</v>
      </c>
    </row>
    <row r="72" spans="2:7" x14ac:dyDescent="0.35">
      <c r="B72" s="41" t="s">
        <v>989</v>
      </c>
      <c r="C72" s="41"/>
      <c r="D72" s="41" t="s">
        <v>987</v>
      </c>
      <c r="E72" s="41">
        <v>30</v>
      </c>
      <c r="F72" s="41">
        <v>93</v>
      </c>
      <c r="G72" s="41">
        <f t="shared" si="6"/>
        <v>2790</v>
      </c>
    </row>
    <row r="73" spans="2:7" x14ac:dyDescent="0.35">
      <c r="B73" s="41" t="s">
        <v>988</v>
      </c>
      <c r="C73" s="41"/>
      <c r="D73" s="41" t="s">
        <v>987</v>
      </c>
      <c r="E73" s="41">
        <v>20</v>
      </c>
      <c r="F73" s="41">
        <v>480</v>
      </c>
      <c r="G73" s="41">
        <f t="shared" si="6"/>
        <v>9600</v>
      </c>
    </row>
    <row r="74" spans="2:7" x14ac:dyDescent="0.35">
      <c r="B74" s="41" t="s">
        <v>981</v>
      </c>
      <c r="C74" s="41"/>
      <c r="D74" s="41" t="s">
        <v>987</v>
      </c>
      <c r="E74" s="41">
        <v>30</v>
      </c>
      <c r="F74" s="41">
        <v>144</v>
      </c>
      <c r="G74" s="41">
        <f t="shared" si="6"/>
        <v>4320</v>
      </c>
    </row>
    <row r="75" spans="2:7" x14ac:dyDescent="0.35">
      <c r="B75" s="41" t="s">
        <v>982</v>
      </c>
      <c r="C75" s="41"/>
      <c r="D75" s="41" t="s">
        <v>987</v>
      </c>
      <c r="E75" s="41">
        <v>15</v>
      </c>
      <c r="F75" s="41">
        <v>122</v>
      </c>
      <c r="G75" s="41">
        <f t="shared" si="6"/>
        <v>1830</v>
      </c>
    </row>
    <row r="76" spans="2:7" x14ac:dyDescent="0.35">
      <c r="B76" s="41" t="s">
        <v>983</v>
      </c>
      <c r="C76" s="41"/>
      <c r="D76" s="41" t="s">
        <v>987</v>
      </c>
      <c r="E76" s="41">
        <v>50</v>
      </c>
      <c r="F76" s="41">
        <v>42</v>
      </c>
      <c r="G76" s="41">
        <f t="shared" si="6"/>
        <v>2100</v>
      </c>
    </row>
    <row r="77" spans="2:7" x14ac:dyDescent="0.35">
      <c r="B77" s="41" t="s">
        <v>984</v>
      </c>
      <c r="C77" s="41"/>
      <c r="D77" s="41" t="s">
        <v>987</v>
      </c>
      <c r="E77" s="41">
        <v>20</v>
      </c>
      <c r="F77" s="41">
        <v>169</v>
      </c>
      <c r="G77" s="41">
        <f t="shared" si="6"/>
        <v>3380</v>
      </c>
    </row>
    <row r="78" spans="2:7" x14ac:dyDescent="0.35">
      <c r="B78" s="41" t="s">
        <v>985</v>
      </c>
      <c r="C78" s="41"/>
      <c r="D78" s="41" t="s">
        <v>987</v>
      </c>
      <c r="E78" s="41">
        <v>20</v>
      </c>
      <c r="F78" s="41">
        <v>255</v>
      </c>
      <c r="G78" s="41">
        <f t="shared" si="6"/>
        <v>5100</v>
      </c>
    </row>
    <row r="79" spans="2:7" x14ac:dyDescent="0.35">
      <c r="B79" s="41" t="s">
        <v>1064</v>
      </c>
      <c r="C79" s="41"/>
      <c r="D79" s="41" t="s">
        <v>987</v>
      </c>
      <c r="E79" s="41">
        <v>40</v>
      </c>
      <c r="F79" s="41">
        <v>227</v>
      </c>
      <c r="G79" s="41">
        <f t="shared" si="6"/>
        <v>9080</v>
      </c>
    </row>
    <row r="80" spans="2:7" x14ac:dyDescent="0.35">
      <c r="B80" s="41" t="s">
        <v>986</v>
      </c>
      <c r="C80" s="41"/>
      <c r="D80" s="41" t="s">
        <v>987</v>
      </c>
      <c r="E80" s="41">
        <v>100</v>
      </c>
      <c r="F80" s="41">
        <v>56</v>
      </c>
      <c r="G80" s="41">
        <f t="shared" si="6"/>
        <v>5600</v>
      </c>
    </row>
    <row r="81" spans="2:7" x14ac:dyDescent="0.35">
      <c r="B81" s="1056" t="s">
        <v>977</v>
      </c>
      <c r="C81" s="1056"/>
      <c r="D81" s="1056"/>
      <c r="E81" s="1056"/>
      <c r="F81" s="1056"/>
      <c r="G81" s="41">
        <f>SUM(G69:G80)</f>
        <v>52305</v>
      </c>
    </row>
    <row r="82" spans="2:7" x14ac:dyDescent="0.35">
      <c r="B82" s="673" t="s">
        <v>10</v>
      </c>
      <c r="E82" t="s">
        <v>1169</v>
      </c>
    </row>
    <row r="85" spans="2:7" ht="30" customHeight="1" x14ac:dyDescent="0.35">
      <c r="B85" s="1047" t="s">
        <v>1065</v>
      </c>
      <c r="C85" s="1048"/>
      <c r="D85" s="1048"/>
      <c r="E85" s="1048"/>
      <c r="F85" s="1048"/>
      <c r="G85" s="1049"/>
    </row>
    <row r="86" spans="2:7" ht="42.5" x14ac:dyDescent="0.35">
      <c r="B86" s="293"/>
      <c r="C86" s="293" t="s">
        <v>1081</v>
      </c>
      <c r="D86" s="320"/>
      <c r="E86" s="320">
        <v>2016</v>
      </c>
      <c r="F86" s="320"/>
      <c r="G86" s="293" t="s">
        <v>1024</v>
      </c>
    </row>
    <row r="87" spans="2:7" ht="27.5" customHeight="1" x14ac:dyDescent="0.35">
      <c r="B87" s="494" t="s">
        <v>1025</v>
      </c>
      <c r="C87" s="41">
        <v>6</v>
      </c>
      <c r="D87" s="41"/>
      <c r="E87" s="108"/>
      <c r="F87" s="41"/>
      <c r="G87" s="41" t="s">
        <v>1026</v>
      </c>
    </row>
    <row r="88" spans="2:7" ht="58" x14ac:dyDescent="0.35">
      <c r="B88" s="331" t="s">
        <v>1027</v>
      </c>
      <c r="C88" s="331">
        <v>20</v>
      </c>
      <c r="D88" s="41"/>
      <c r="E88" s="108">
        <v>23</v>
      </c>
      <c r="F88" s="317"/>
      <c r="G88" s="331" t="s">
        <v>1084</v>
      </c>
    </row>
    <row r="89" spans="2:7" ht="58" x14ac:dyDescent="0.35">
      <c r="B89" s="331" t="s">
        <v>1083</v>
      </c>
      <c r="C89" s="331">
        <v>16.2</v>
      </c>
      <c r="D89" s="317"/>
      <c r="E89" s="108">
        <v>17</v>
      </c>
      <c r="F89" s="317"/>
      <c r="G89" s="331" t="s">
        <v>1088</v>
      </c>
    </row>
    <row r="90" spans="2:7" ht="58" x14ac:dyDescent="0.35">
      <c r="B90" s="331" t="s">
        <v>1086</v>
      </c>
      <c r="C90" s="331"/>
      <c r="D90" s="317"/>
      <c r="E90" s="108">
        <v>25</v>
      </c>
      <c r="F90" s="317"/>
      <c r="G90" s="331" t="s">
        <v>1087</v>
      </c>
    </row>
    <row r="91" spans="2:7" ht="58" x14ac:dyDescent="0.35">
      <c r="B91" s="362" t="s">
        <v>1090</v>
      </c>
      <c r="C91" s="362"/>
      <c r="D91" s="317"/>
      <c r="E91" s="108">
        <v>7.5</v>
      </c>
      <c r="F91" s="317"/>
      <c r="G91" s="331" t="s">
        <v>1274</v>
      </c>
    </row>
    <row r="92" spans="2:7" ht="72.5" x14ac:dyDescent="0.35">
      <c r="B92" s="362" t="s">
        <v>1028</v>
      </c>
      <c r="C92" s="362"/>
      <c r="D92" s="317"/>
      <c r="E92" s="108">
        <v>40</v>
      </c>
      <c r="F92" s="317"/>
      <c r="G92" s="331" t="s">
        <v>1257</v>
      </c>
    </row>
    <row r="93" spans="2:7" ht="66.5" customHeight="1" x14ac:dyDescent="0.35">
      <c r="B93" s="362" t="s">
        <v>1258</v>
      </c>
      <c r="C93" s="362"/>
      <c r="D93" s="317"/>
      <c r="E93" s="108">
        <v>26.2</v>
      </c>
      <c r="F93" s="317"/>
      <c r="G93" s="331" t="s">
        <v>1256</v>
      </c>
    </row>
    <row r="94" spans="2:7" ht="43.5" x14ac:dyDescent="0.35">
      <c r="B94" s="362" t="s">
        <v>1029</v>
      </c>
      <c r="C94" s="362"/>
      <c r="D94" s="317"/>
      <c r="E94" s="108">
        <v>50</v>
      </c>
      <c r="F94" s="317"/>
      <c r="G94" s="331" t="s">
        <v>1085</v>
      </c>
    </row>
    <row r="95" spans="2:7" x14ac:dyDescent="0.35">
      <c r="B95" s="362" t="s">
        <v>1030</v>
      </c>
      <c r="C95" s="41">
        <f>SUM(C87:C94)</f>
        <v>42.2</v>
      </c>
      <c r="D95" s="41"/>
      <c r="E95" s="41">
        <f>SUM(E87:E94)</f>
        <v>188.7</v>
      </c>
      <c r="F95" s="41"/>
      <c r="G95" s="41"/>
    </row>
    <row r="96" spans="2:7" x14ac:dyDescent="0.35">
      <c r="B96" s="673"/>
      <c r="C96" s="29"/>
      <c r="D96" s="29"/>
      <c r="E96" s="29"/>
      <c r="F96" s="29"/>
      <c r="G96" s="29"/>
    </row>
    <row r="97" spans="2:7" x14ac:dyDescent="0.35">
      <c r="B97" s="673" t="s">
        <v>1259</v>
      </c>
      <c r="C97" s="29"/>
      <c r="D97" s="29"/>
      <c r="E97" s="29"/>
      <c r="F97" s="29" t="s">
        <v>1175</v>
      </c>
      <c r="G97" s="29"/>
    </row>
    <row r="100" spans="2:7" ht="30" customHeight="1" x14ac:dyDescent="0.35">
      <c r="B100" s="1050" t="s">
        <v>930</v>
      </c>
      <c r="C100" s="1051"/>
      <c r="D100" s="1051"/>
      <c r="E100" s="1051"/>
      <c r="F100" s="1051"/>
      <c r="G100" s="1052"/>
    </row>
    <row r="102" spans="2:7" ht="42.5" x14ac:dyDescent="0.35">
      <c r="B102" s="293"/>
      <c r="C102" s="293" t="s">
        <v>1081</v>
      </c>
      <c r="D102" s="320"/>
      <c r="E102" s="320">
        <v>2016</v>
      </c>
      <c r="F102" s="320"/>
      <c r="G102" s="293" t="s">
        <v>1024</v>
      </c>
    </row>
    <row r="103" spans="2:7" ht="58" x14ac:dyDescent="0.35">
      <c r="B103" s="331" t="s">
        <v>1034</v>
      </c>
      <c r="C103" s="109">
        <v>10.3</v>
      </c>
      <c r="D103" s="108"/>
      <c r="E103" s="108">
        <v>67</v>
      </c>
      <c r="F103" s="41"/>
      <c r="G103" s="331" t="s">
        <v>1082</v>
      </c>
    </row>
    <row r="104" spans="2:7" ht="58" x14ac:dyDescent="0.35">
      <c r="B104" s="41" t="s">
        <v>1035</v>
      </c>
      <c r="C104" s="108">
        <v>14</v>
      </c>
      <c r="D104" s="108"/>
      <c r="E104" s="108">
        <v>62</v>
      </c>
      <c r="F104" s="41"/>
      <c r="G104" s="331" t="s">
        <v>1082</v>
      </c>
    </row>
    <row r="105" spans="2:7" ht="58" x14ac:dyDescent="0.35">
      <c r="B105" s="331" t="s">
        <v>1036</v>
      </c>
      <c r="C105" s="109">
        <v>8.6999999999999993</v>
      </c>
      <c r="D105" s="108"/>
      <c r="E105" s="108">
        <v>26</v>
      </c>
      <c r="F105" s="317"/>
      <c r="G105" s="331" t="s">
        <v>1082</v>
      </c>
    </row>
    <row r="106" spans="2:7" x14ac:dyDescent="0.35">
      <c r="B106" s="362" t="s">
        <v>1030</v>
      </c>
      <c r="C106" s="108">
        <f>SUM(C103:C105)</f>
        <v>33</v>
      </c>
      <c r="D106" s="108"/>
      <c r="E106" s="108">
        <f>SUM(E103:E105)</f>
        <v>155</v>
      </c>
      <c r="F106" s="41"/>
      <c r="G106" s="41"/>
    </row>
    <row r="108" spans="2:7" x14ac:dyDescent="0.35">
      <c r="B108" s="673" t="s">
        <v>10</v>
      </c>
      <c r="E108" t="s">
        <v>1169</v>
      </c>
    </row>
  </sheetData>
  <mergeCells count="6">
    <mergeCell ref="B85:G85"/>
    <mergeCell ref="B100:G100"/>
    <mergeCell ref="B62:E62"/>
    <mergeCell ref="B81:F81"/>
    <mergeCell ref="B2:G2"/>
    <mergeCell ref="B14:G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28" workbookViewId="0">
      <selection activeCell="A27" sqref="A27:E33"/>
    </sheetView>
  </sheetViews>
  <sheetFormatPr defaultRowHeight="14.5" x14ac:dyDescent="0.35"/>
  <cols>
    <col min="1" max="1" width="15.90625" customWidth="1"/>
    <col min="3" max="3" width="16.1796875" customWidth="1"/>
    <col min="4" max="4" width="24.1796875" customWidth="1"/>
    <col min="5" max="5" width="20.453125" customWidth="1"/>
  </cols>
  <sheetData>
    <row r="1" spans="1:5" ht="15.5" x14ac:dyDescent="0.35">
      <c r="A1" s="672"/>
      <c r="B1" s="602"/>
      <c r="C1" s="602"/>
      <c r="D1" s="602"/>
      <c r="E1" s="602"/>
    </row>
    <row r="2" spans="1:5" ht="15.5" x14ac:dyDescent="0.35">
      <c r="A2" s="672" t="s">
        <v>1254</v>
      </c>
      <c r="B2" s="602"/>
      <c r="C2" s="602"/>
      <c r="D2" s="602"/>
      <c r="E2" s="602"/>
    </row>
    <row r="3" spans="1:5" ht="15" thickBot="1" x14ac:dyDescent="0.4">
      <c r="A3" s="625"/>
    </row>
    <row r="4" spans="1:5" ht="29.5" thickBot="1" x14ac:dyDescent="0.4">
      <c r="A4" s="628" t="s">
        <v>1196</v>
      </c>
      <c r="B4" s="652" t="s">
        <v>1197</v>
      </c>
      <c r="C4" s="652" t="s">
        <v>921</v>
      </c>
      <c r="D4" s="652" t="s">
        <v>1198</v>
      </c>
      <c r="E4" s="652" t="s">
        <v>1199</v>
      </c>
    </row>
    <row r="5" spans="1:5" ht="45" customHeight="1" x14ac:dyDescent="0.35">
      <c r="A5" s="1066" t="s">
        <v>1275</v>
      </c>
      <c r="B5" s="1060" t="s">
        <v>1200</v>
      </c>
      <c r="C5" s="655" t="s">
        <v>1201</v>
      </c>
      <c r="D5" s="655" t="s">
        <v>1218</v>
      </c>
      <c r="E5" s="655" t="s">
        <v>1207</v>
      </c>
    </row>
    <row r="6" spans="1:5" ht="27.5" customHeight="1" x14ac:dyDescent="0.35">
      <c r="A6" s="1067"/>
      <c r="B6" s="1061"/>
      <c r="C6" s="626" t="s">
        <v>1217</v>
      </c>
      <c r="D6" s="626" t="s">
        <v>1202</v>
      </c>
      <c r="E6" s="626" t="s">
        <v>1208</v>
      </c>
    </row>
    <row r="7" spans="1:5" x14ac:dyDescent="0.35">
      <c r="A7" s="1067"/>
      <c r="B7" s="1061"/>
      <c r="C7" s="627"/>
      <c r="D7" s="626" t="s">
        <v>1203</v>
      </c>
      <c r="E7" s="626" t="s">
        <v>398</v>
      </c>
    </row>
    <row r="8" spans="1:5" ht="29" x14ac:dyDescent="0.35">
      <c r="A8" s="1067"/>
      <c r="B8" s="1061"/>
      <c r="C8" s="627"/>
      <c r="D8" s="626" t="s">
        <v>1204</v>
      </c>
      <c r="E8" s="626" t="s">
        <v>1209</v>
      </c>
    </row>
    <row r="9" spans="1:5" x14ac:dyDescent="0.35">
      <c r="A9" s="1067"/>
      <c r="B9" s="1061"/>
      <c r="C9" s="627"/>
      <c r="D9" s="626" t="s">
        <v>1205</v>
      </c>
      <c r="E9" s="626"/>
    </row>
    <row r="10" spans="1:5" ht="29.5" thickBot="1" x14ac:dyDescent="0.4">
      <c r="A10" s="1068"/>
      <c r="B10" s="1062"/>
      <c r="C10" s="659"/>
      <c r="D10" s="660" t="s">
        <v>1206</v>
      </c>
      <c r="E10" s="660" t="s">
        <v>1210</v>
      </c>
    </row>
    <row r="11" spans="1:5" ht="29" x14ac:dyDescent="0.35">
      <c r="A11" s="1066" t="s">
        <v>1275</v>
      </c>
      <c r="B11" s="1060"/>
      <c r="C11" s="1069" t="s">
        <v>1276</v>
      </c>
      <c r="D11" s="655" t="s">
        <v>1211</v>
      </c>
      <c r="E11" s="655" t="s">
        <v>1228</v>
      </c>
    </row>
    <row r="12" spans="1:5" ht="68" customHeight="1" thickBot="1" x14ac:dyDescent="0.4">
      <c r="A12" s="1068"/>
      <c r="B12" s="1062"/>
      <c r="C12" s="1070"/>
      <c r="D12" s="660" t="s">
        <v>1212</v>
      </c>
      <c r="E12" s="660" t="s">
        <v>1213</v>
      </c>
    </row>
    <row r="13" spans="1:5" ht="102" thickBot="1" x14ac:dyDescent="0.4">
      <c r="A13" s="662" t="s">
        <v>1239</v>
      </c>
      <c r="B13" s="663">
        <v>650</v>
      </c>
      <c r="C13" s="664" t="s">
        <v>1201</v>
      </c>
      <c r="D13" s="664" t="s">
        <v>1240</v>
      </c>
      <c r="E13" s="665" t="s">
        <v>1255</v>
      </c>
    </row>
    <row r="14" spans="1:5" ht="44" thickBot="1" x14ac:dyDescent="0.4">
      <c r="A14" s="653" t="s">
        <v>1229</v>
      </c>
      <c r="B14" s="654"/>
      <c r="C14" s="654" t="s">
        <v>1230</v>
      </c>
      <c r="D14" s="655"/>
      <c r="E14" s="656" t="s">
        <v>1231</v>
      </c>
    </row>
    <row r="15" spans="1:5" ht="87.5" thickBot="1" x14ac:dyDescent="0.4">
      <c r="A15" s="662" t="s">
        <v>1273</v>
      </c>
      <c r="B15" s="663" t="s">
        <v>1234</v>
      </c>
      <c r="C15" s="663" t="s">
        <v>1233</v>
      </c>
      <c r="D15" s="664" t="s">
        <v>1235</v>
      </c>
      <c r="E15" s="665" t="s">
        <v>1236</v>
      </c>
    </row>
    <row r="16" spans="1:5" x14ac:dyDescent="0.35">
      <c r="A16" s="653" t="s">
        <v>1214</v>
      </c>
      <c r="B16" s="1060"/>
      <c r="C16" s="1060" t="s">
        <v>1216</v>
      </c>
      <c r="D16" s="1060"/>
      <c r="E16" s="1063" t="s">
        <v>1232</v>
      </c>
    </row>
    <row r="17" spans="1:5" x14ac:dyDescent="0.35">
      <c r="A17" s="657" t="s">
        <v>1272</v>
      </c>
      <c r="B17" s="1061"/>
      <c r="C17" s="1061"/>
      <c r="D17" s="1061"/>
      <c r="E17" s="1064"/>
    </row>
    <row r="18" spans="1:5" x14ac:dyDescent="0.35">
      <c r="A18" s="657" t="s">
        <v>1215</v>
      </c>
      <c r="B18" s="1061"/>
      <c r="C18" s="1061"/>
      <c r="D18" s="1061"/>
      <c r="E18" s="1064"/>
    </row>
    <row r="19" spans="1:5" ht="15" thickBot="1" x14ac:dyDescent="0.4">
      <c r="A19" s="658" t="s">
        <v>1219</v>
      </c>
      <c r="B19" s="1062"/>
      <c r="C19" s="1062"/>
      <c r="D19" s="1062"/>
      <c r="E19" s="1065"/>
    </row>
    <row r="20" spans="1:5" ht="15" thickBot="1" x14ac:dyDescent="0.4">
      <c r="A20" s="649"/>
      <c r="B20" s="626"/>
      <c r="C20" s="626"/>
      <c r="D20" s="666">
        <v>116200</v>
      </c>
      <c r="E20" s="666">
        <v>358600</v>
      </c>
    </row>
    <row r="21" spans="1:5" ht="15" thickBot="1" x14ac:dyDescent="0.4">
      <c r="A21" s="667" t="s">
        <v>286</v>
      </c>
      <c r="B21" s="668"/>
      <c r="C21" s="668"/>
      <c r="D21" s="1073">
        <v>474800</v>
      </c>
      <c r="E21" s="1074"/>
    </row>
    <row r="22" spans="1:5" x14ac:dyDescent="0.35">
      <c r="A22" s="625"/>
    </row>
    <row r="23" spans="1:5" x14ac:dyDescent="0.35">
      <c r="A23" s="625"/>
    </row>
    <row r="24" spans="1:5" x14ac:dyDescent="0.35">
      <c r="A24" s="625" t="s">
        <v>1237</v>
      </c>
      <c r="D24" t="s">
        <v>1238</v>
      </c>
    </row>
    <row r="25" spans="1:5" x14ac:dyDescent="0.35">
      <c r="A25" s="625"/>
    </row>
    <row r="27" spans="1:5" ht="18.5" x14ac:dyDescent="0.35">
      <c r="A27" s="1072" t="s">
        <v>1313</v>
      </c>
      <c r="B27" s="1072"/>
      <c r="C27" s="1072"/>
      <c r="D27" s="1072"/>
      <c r="E27" s="1072"/>
    </row>
    <row r="28" spans="1:5" ht="18.5" x14ac:dyDescent="0.35">
      <c r="A28" s="1072" t="s">
        <v>951</v>
      </c>
      <c r="B28" s="1072"/>
      <c r="C28" s="1072"/>
      <c r="D28" s="1072"/>
      <c r="E28" s="1072"/>
    </row>
    <row r="29" spans="1:5" ht="18.5" x14ac:dyDescent="0.35">
      <c r="A29" s="716"/>
    </row>
    <row r="30" spans="1:5" ht="139.5" customHeight="1" x14ac:dyDescent="0.35">
      <c r="A30" s="1071" t="s">
        <v>1314</v>
      </c>
      <c r="B30" s="1071"/>
      <c r="C30" s="1071"/>
      <c r="D30" s="1071"/>
      <c r="E30" s="1071"/>
    </row>
    <row r="31" spans="1:5" ht="113" customHeight="1" x14ac:dyDescent="0.35">
      <c r="A31" s="1071" t="s">
        <v>1315</v>
      </c>
      <c r="B31" s="1071"/>
      <c r="C31" s="1071"/>
      <c r="D31" s="1071"/>
      <c r="E31" s="1071"/>
    </row>
    <row r="32" spans="1:5" ht="36" customHeight="1" x14ac:dyDescent="0.35">
      <c r="A32" s="717"/>
    </row>
  </sheetData>
  <mergeCells count="14">
    <mergeCell ref="A30:E30"/>
    <mergeCell ref="A27:E27"/>
    <mergeCell ref="A28:E28"/>
    <mergeCell ref="A31:E31"/>
    <mergeCell ref="D21:E21"/>
    <mergeCell ref="B16:B19"/>
    <mergeCell ref="C16:C19"/>
    <mergeCell ref="D16:D19"/>
    <mergeCell ref="E16:E19"/>
    <mergeCell ref="A5:A10"/>
    <mergeCell ref="B5:B10"/>
    <mergeCell ref="A11:A12"/>
    <mergeCell ref="B11:B12"/>
    <mergeCell ref="C11:C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38" workbookViewId="0">
      <selection activeCell="A28" sqref="A28:E53"/>
    </sheetView>
  </sheetViews>
  <sheetFormatPr defaultRowHeight="14.5" x14ac:dyDescent="0.35"/>
  <cols>
    <col min="1" max="1" width="18" customWidth="1"/>
    <col min="2" max="2" width="10.26953125" customWidth="1"/>
    <col min="3" max="3" width="13.81640625" customWidth="1"/>
    <col min="4" max="4" width="19.6328125" customWidth="1"/>
    <col min="5" max="5" width="19.26953125" customWidth="1"/>
  </cols>
  <sheetData>
    <row r="1" spans="1:5" x14ac:dyDescent="0.35">
      <c r="A1" s="700" t="s">
        <v>1277</v>
      </c>
    </row>
    <row r="2" spans="1:5" ht="69" customHeight="1" x14ac:dyDescent="0.35">
      <c r="A2" s="1078" t="s">
        <v>1278</v>
      </c>
      <c r="B2" s="1079"/>
      <c r="C2" s="1079"/>
      <c r="D2" s="1079"/>
      <c r="E2" s="1079"/>
    </row>
    <row r="3" spans="1:5" x14ac:dyDescent="0.35">
      <c r="A3" s="700" t="s">
        <v>1279</v>
      </c>
    </row>
    <row r="4" spans="1:5" x14ac:dyDescent="0.35">
      <c r="A4" s="700"/>
    </row>
    <row r="5" spans="1:5" x14ac:dyDescent="0.35">
      <c r="A5" s="700"/>
    </row>
    <row r="6" spans="1:5" ht="15" thickBot="1" x14ac:dyDescent="0.4">
      <c r="A6" s="700" t="s">
        <v>1280</v>
      </c>
    </row>
    <row r="7" spans="1:5" ht="42.5" thickBot="1" x14ac:dyDescent="0.4">
      <c r="A7" s="701" t="s">
        <v>1281</v>
      </c>
      <c r="B7" s="702" t="s">
        <v>1282</v>
      </c>
      <c r="C7" s="702" t="s">
        <v>1283</v>
      </c>
      <c r="D7" s="702" t="s">
        <v>1284</v>
      </c>
      <c r="E7" s="702" t="s">
        <v>1285</v>
      </c>
    </row>
    <row r="8" spans="1:5" ht="122.5" customHeight="1" x14ac:dyDescent="0.35">
      <c r="A8" s="703" t="s">
        <v>1286</v>
      </c>
      <c r="B8" s="1075" t="s">
        <v>1288</v>
      </c>
      <c r="C8" s="1075" t="s">
        <v>1289</v>
      </c>
      <c r="D8" s="1075" t="s">
        <v>1290</v>
      </c>
      <c r="E8" s="1075" t="s">
        <v>1291</v>
      </c>
    </row>
    <row r="9" spans="1:5" x14ac:dyDescent="0.35">
      <c r="A9" s="703" t="s">
        <v>1287</v>
      </c>
      <c r="B9" s="1076"/>
      <c r="C9" s="1076"/>
      <c r="D9" s="1076"/>
      <c r="E9" s="1076"/>
    </row>
    <row r="10" spans="1:5" x14ac:dyDescent="0.35">
      <c r="A10" s="704"/>
      <c r="B10" s="1076"/>
      <c r="C10" s="1076"/>
      <c r="D10" s="1076"/>
      <c r="E10" s="1076"/>
    </row>
    <row r="11" spans="1:5" x14ac:dyDescent="0.35">
      <c r="A11" s="704"/>
      <c r="B11" s="1076"/>
      <c r="C11" s="1076"/>
      <c r="D11" s="1076"/>
      <c r="E11" s="1076"/>
    </row>
    <row r="12" spans="1:5" x14ac:dyDescent="0.35">
      <c r="A12" s="704"/>
      <c r="B12" s="1076"/>
      <c r="C12" s="1076"/>
      <c r="D12" s="1076"/>
      <c r="E12" s="1076"/>
    </row>
    <row r="13" spans="1:5" x14ac:dyDescent="0.35">
      <c r="A13" s="704"/>
      <c r="B13" s="1076"/>
      <c r="C13" s="1076"/>
      <c r="D13" s="1076"/>
      <c r="E13" s="1076"/>
    </row>
    <row r="14" spans="1:5" ht="15" thickBot="1" x14ac:dyDescent="0.4">
      <c r="A14" s="704"/>
      <c r="B14" s="1076"/>
      <c r="C14" s="1076"/>
      <c r="D14" s="1076"/>
      <c r="E14" s="1076"/>
    </row>
    <row r="15" spans="1:5" ht="41.5" customHeight="1" x14ac:dyDescent="0.35">
      <c r="A15" s="1080" t="s">
        <v>1292</v>
      </c>
      <c r="B15" s="1083" t="s">
        <v>1288</v>
      </c>
      <c r="C15" s="710"/>
      <c r="D15" s="710" t="s">
        <v>1293</v>
      </c>
      <c r="E15" s="711"/>
    </row>
    <row r="16" spans="1:5" ht="43.5" customHeight="1" x14ac:dyDescent="0.35">
      <c r="A16" s="1081"/>
      <c r="B16" s="1076"/>
      <c r="C16" s="705" t="s">
        <v>1293</v>
      </c>
      <c r="D16" s="705" t="s">
        <v>1295</v>
      </c>
      <c r="E16" s="712" t="s">
        <v>1297</v>
      </c>
    </row>
    <row r="17" spans="1:5" ht="69.5" customHeight="1" x14ac:dyDescent="0.35">
      <c r="A17" s="1081"/>
      <c r="B17" s="1076"/>
      <c r="C17" s="705" t="s">
        <v>1294</v>
      </c>
      <c r="D17" s="705" t="s">
        <v>1294</v>
      </c>
      <c r="E17" s="713" t="s">
        <v>1298</v>
      </c>
    </row>
    <row r="18" spans="1:5" ht="15" thickBot="1" x14ac:dyDescent="0.4">
      <c r="A18" s="1082"/>
      <c r="B18" s="1084"/>
      <c r="C18" s="714"/>
      <c r="D18" s="714" t="s">
        <v>1296</v>
      </c>
      <c r="E18" s="715"/>
    </row>
    <row r="19" spans="1:5" ht="96" customHeight="1" thickBot="1" x14ac:dyDescent="0.4">
      <c r="A19" s="708" t="s">
        <v>1299</v>
      </c>
      <c r="B19" s="706" t="s">
        <v>1288</v>
      </c>
      <c r="C19" s="706" t="s">
        <v>1300</v>
      </c>
      <c r="D19" s="706" t="s">
        <v>1301</v>
      </c>
      <c r="E19" s="706" t="s">
        <v>1302</v>
      </c>
    </row>
    <row r="20" spans="1:5" ht="15" thickBot="1" x14ac:dyDescent="0.4">
      <c r="A20" s="708"/>
      <c r="B20" s="706"/>
      <c r="C20" s="706"/>
      <c r="D20" s="706"/>
      <c r="E20" s="709" t="s">
        <v>1303</v>
      </c>
    </row>
    <row r="21" spans="1:5" x14ac:dyDescent="0.35">
      <c r="A21" s="700"/>
    </row>
    <row r="22" spans="1:5" x14ac:dyDescent="0.35">
      <c r="A22" s="700" t="s">
        <v>1304</v>
      </c>
    </row>
    <row r="23" spans="1:5" x14ac:dyDescent="0.35">
      <c r="A23" s="700" t="s">
        <v>1305</v>
      </c>
    </row>
    <row r="24" spans="1:5" x14ac:dyDescent="0.35">
      <c r="A24" s="700"/>
    </row>
    <row r="25" spans="1:5" x14ac:dyDescent="0.35">
      <c r="A25" s="700"/>
    </row>
    <row r="26" spans="1:5" x14ac:dyDescent="0.35">
      <c r="A26" s="700"/>
    </row>
    <row r="27" spans="1:5" x14ac:dyDescent="0.35">
      <c r="A27" s="700"/>
    </row>
    <row r="28" spans="1:5" x14ac:dyDescent="0.35">
      <c r="A28" s="700"/>
    </row>
    <row r="29" spans="1:5" x14ac:dyDescent="0.35">
      <c r="A29" s="700" t="s">
        <v>1306</v>
      </c>
    </row>
    <row r="30" spans="1:5" ht="62.5" customHeight="1" x14ac:dyDescent="0.35">
      <c r="A30" s="1078" t="s">
        <v>1278</v>
      </c>
      <c r="B30" s="1079"/>
      <c r="C30" s="1079"/>
      <c r="D30" s="1079"/>
      <c r="E30" s="1079"/>
    </row>
    <row r="31" spans="1:5" x14ac:dyDescent="0.35">
      <c r="A31" s="700"/>
    </row>
    <row r="32" spans="1:5" ht="15" thickBot="1" x14ac:dyDescent="0.4">
      <c r="A32" s="700" t="s">
        <v>1307</v>
      </c>
    </row>
    <row r="33" spans="1:5" ht="15" thickBot="1" x14ac:dyDescent="0.4">
      <c r="A33" s="701"/>
      <c r="B33" s="702"/>
      <c r="C33" s="702"/>
      <c r="D33" s="702"/>
      <c r="E33" s="702"/>
    </row>
    <row r="34" spans="1:5" ht="15" thickBot="1" x14ac:dyDescent="0.4">
      <c r="A34" s="708"/>
      <c r="B34" s="706"/>
      <c r="C34" s="706"/>
      <c r="D34" s="706"/>
      <c r="E34" s="706"/>
    </row>
    <row r="35" spans="1:5" x14ac:dyDescent="0.35">
      <c r="A35" s="1075" t="s">
        <v>931</v>
      </c>
      <c r="B35" s="1075"/>
      <c r="C35" s="1075"/>
      <c r="D35" s="1075"/>
      <c r="E35" s="1075"/>
    </row>
    <row r="36" spans="1:5" ht="15" thickBot="1" x14ac:dyDescent="0.4">
      <c r="A36" s="1077"/>
      <c r="B36" s="1077"/>
      <c r="C36" s="1077"/>
      <c r="D36" s="1077"/>
      <c r="E36" s="1077"/>
    </row>
    <row r="37" spans="1:5" ht="42" x14ac:dyDescent="0.35">
      <c r="A37" s="1075" t="s">
        <v>1286</v>
      </c>
      <c r="B37" s="1075" t="s">
        <v>1308</v>
      </c>
      <c r="C37" s="705" t="s">
        <v>1293</v>
      </c>
      <c r="D37" s="705" t="s">
        <v>1293</v>
      </c>
      <c r="E37" s="1075" t="s">
        <v>1311</v>
      </c>
    </row>
    <row r="38" spans="1:5" ht="42" x14ac:dyDescent="0.35">
      <c r="A38" s="1076"/>
      <c r="B38" s="1076"/>
      <c r="C38" s="705" t="s">
        <v>1294</v>
      </c>
      <c r="D38" s="705" t="s">
        <v>1309</v>
      </c>
      <c r="E38" s="1076"/>
    </row>
    <row r="39" spans="1:5" ht="42" x14ac:dyDescent="0.35">
      <c r="A39" s="1076"/>
      <c r="B39" s="1076"/>
      <c r="C39" s="705"/>
      <c r="D39" s="705" t="s">
        <v>1294</v>
      </c>
      <c r="E39" s="1076"/>
    </row>
    <row r="40" spans="1:5" x14ac:dyDescent="0.35">
      <c r="A40" s="1076"/>
      <c r="B40" s="1076"/>
      <c r="C40" s="627"/>
      <c r="D40" s="705" t="s">
        <v>1310</v>
      </c>
      <c r="E40" s="1076"/>
    </row>
    <row r="41" spans="1:5" x14ac:dyDescent="0.35">
      <c r="A41" s="1076"/>
      <c r="B41" s="1076"/>
      <c r="C41" s="627"/>
      <c r="D41" s="627"/>
      <c r="E41" s="1076"/>
    </row>
    <row r="42" spans="1:5" x14ac:dyDescent="0.35">
      <c r="A42" s="1076"/>
      <c r="B42" s="1076"/>
      <c r="C42" s="627"/>
      <c r="D42" s="627"/>
      <c r="E42" s="1076"/>
    </row>
    <row r="43" spans="1:5" ht="15" thickBot="1" x14ac:dyDescent="0.4">
      <c r="A43" s="1077"/>
      <c r="B43" s="1077"/>
      <c r="C43" s="707"/>
      <c r="D43" s="707"/>
      <c r="E43" s="1077"/>
    </row>
    <row r="44" spans="1:5" ht="15" thickBot="1" x14ac:dyDescent="0.4">
      <c r="A44" s="708"/>
      <c r="B44" s="706"/>
      <c r="C44" s="706"/>
      <c r="D44" s="706"/>
      <c r="E44" s="706"/>
    </row>
    <row r="45" spans="1:5" ht="15" thickBot="1" x14ac:dyDescent="0.4">
      <c r="A45" s="708"/>
      <c r="B45" s="706"/>
      <c r="C45" s="706"/>
      <c r="D45" s="706"/>
      <c r="E45" s="706"/>
    </row>
    <row r="46" spans="1:5" x14ac:dyDescent="0.35">
      <c r="A46" s="700"/>
    </row>
    <row r="47" spans="1:5" x14ac:dyDescent="0.35">
      <c r="A47" s="700" t="s">
        <v>1312</v>
      </c>
    </row>
    <row r="48" spans="1:5" x14ac:dyDescent="0.35">
      <c r="A48" s="700"/>
    </row>
    <row r="49" spans="1:1" x14ac:dyDescent="0.35">
      <c r="A49" s="625"/>
    </row>
  </sheetData>
  <mergeCells count="16">
    <mergeCell ref="A37:A43"/>
    <mergeCell ref="B37:B43"/>
    <mergeCell ref="E37:E43"/>
    <mergeCell ref="A30:E30"/>
    <mergeCell ref="A2:E2"/>
    <mergeCell ref="A35:A36"/>
    <mergeCell ref="B35:B36"/>
    <mergeCell ref="C35:C36"/>
    <mergeCell ref="D35:D36"/>
    <mergeCell ref="E35:E36"/>
    <mergeCell ref="B8:B14"/>
    <mergeCell ref="C8:C14"/>
    <mergeCell ref="D8:D14"/>
    <mergeCell ref="E8:E14"/>
    <mergeCell ref="A15:A18"/>
    <mergeCell ref="B15:B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6" workbookViewId="0">
      <selection activeCell="D32" sqref="D32"/>
    </sheetView>
  </sheetViews>
  <sheetFormatPr defaultColWidth="8" defaultRowHeight="14.5" x14ac:dyDescent="0.35"/>
  <cols>
    <col min="1" max="1" width="5.81640625" customWidth="1"/>
    <col min="2" max="2" width="29.90625" customWidth="1"/>
    <col min="3" max="3" width="10.6328125" customWidth="1"/>
    <col min="4" max="4" width="13.54296875" customWidth="1"/>
    <col min="5" max="5" width="14" customWidth="1"/>
    <col min="6" max="6" width="8" customWidth="1"/>
  </cols>
  <sheetData>
    <row r="1" spans="1:5" x14ac:dyDescent="0.35">
      <c r="B1" t="s">
        <v>1390</v>
      </c>
    </row>
    <row r="2" spans="1:5" x14ac:dyDescent="0.35">
      <c r="B2" t="s">
        <v>1391</v>
      </c>
    </row>
    <row r="4" spans="1:5" x14ac:dyDescent="0.35">
      <c r="A4" s="773" t="s">
        <v>1392</v>
      </c>
      <c r="B4" s="773" t="s">
        <v>131</v>
      </c>
      <c r="C4" s="773" t="s">
        <v>2</v>
      </c>
      <c r="D4" s="773" t="s">
        <v>1393</v>
      </c>
      <c r="E4" s="773" t="s">
        <v>1394</v>
      </c>
    </row>
    <row r="5" spans="1:5" x14ac:dyDescent="0.35">
      <c r="A5" s="774"/>
      <c r="B5" s="774"/>
      <c r="C5" s="774"/>
      <c r="D5" s="774" t="s">
        <v>320</v>
      </c>
      <c r="E5" s="774" t="s">
        <v>320</v>
      </c>
    </row>
    <row r="6" spans="1:5" x14ac:dyDescent="0.35">
      <c r="A6" s="775">
        <v>2</v>
      </c>
      <c r="B6" s="775">
        <v>3</v>
      </c>
      <c r="C6" s="775">
        <v>4</v>
      </c>
      <c r="D6" s="775">
        <v>5</v>
      </c>
      <c r="E6" s="776"/>
    </row>
    <row r="7" spans="1:5" x14ac:dyDescent="0.35">
      <c r="A7" s="777">
        <v>1</v>
      </c>
      <c r="B7" s="777" t="s">
        <v>1395</v>
      </c>
      <c r="C7" s="777">
        <v>4</v>
      </c>
      <c r="D7" s="777">
        <v>10590</v>
      </c>
      <c r="E7" s="777">
        <f>+E8+E9+E10+E11+E12+E13+E14+E15+E17+E18+E19+E20+E21+E22+E23+E24+E25+E26</f>
        <v>46622</v>
      </c>
    </row>
    <row r="8" spans="1:5" x14ac:dyDescent="0.35">
      <c r="A8" s="777">
        <v>2</v>
      </c>
      <c r="B8" s="777" t="s">
        <v>1396</v>
      </c>
      <c r="C8" s="777">
        <v>1</v>
      </c>
      <c r="D8" s="777">
        <v>6487</v>
      </c>
      <c r="E8" s="777">
        <f t="shared" ref="E8:E15" si="0">C8*D8</f>
        <v>6487</v>
      </c>
    </row>
    <row r="9" spans="1:5" x14ac:dyDescent="0.35">
      <c r="A9" s="777">
        <v>3</v>
      </c>
      <c r="B9" s="777" t="s">
        <v>1397</v>
      </c>
      <c r="C9" s="777">
        <v>1</v>
      </c>
      <c r="D9" s="777">
        <v>9990</v>
      </c>
      <c r="E9" s="777">
        <f t="shared" si="0"/>
        <v>9990</v>
      </c>
    </row>
    <row r="10" spans="1:5" x14ac:dyDescent="0.35">
      <c r="A10" s="777">
        <v>4</v>
      </c>
      <c r="B10" s="777" t="s">
        <v>1398</v>
      </c>
      <c r="C10" s="777">
        <v>1</v>
      </c>
      <c r="D10" s="777">
        <v>1640</v>
      </c>
      <c r="E10" s="777">
        <f t="shared" si="0"/>
        <v>1640</v>
      </c>
    </row>
    <row r="11" spans="1:5" x14ac:dyDescent="0.35">
      <c r="A11" s="777">
        <v>5</v>
      </c>
      <c r="B11" s="777" t="s">
        <v>1399</v>
      </c>
      <c r="C11" s="777">
        <v>4</v>
      </c>
      <c r="D11" s="777">
        <v>935</v>
      </c>
      <c r="E11" s="777">
        <f t="shared" si="0"/>
        <v>3740</v>
      </c>
    </row>
    <row r="12" spans="1:5" x14ac:dyDescent="0.35">
      <c r="A12" s="777">
        <v>6</v>
      </c>
      <c r="B12" s="777" t="s">
        <v>1400</v>
      </c>
      <c r="C12" s="777">
        <v>4</v>
      </c>
      <c r="D12" s="777">
        <v>400</v>
      </c>
      <c r="E12" s="777">
        <f t="shared" si="0"/>
        <v>1600</v>
      </c>
    </row>
    <row r="13" spans="1:5" x14ac:dyDescent="0.35">
      <c r="A13" s="777">
        <v>7</v>
      </c>
      <c r="B13" s="777" t="s">
        <v>1401</v>
      </c>
      <c r="C13" s="777">
        <v>8</v>
      </c>
      <c r="D13" s="777">
        <v>1299</v>
      </c>
      <c r="E13" s="777">
        <f t="shared" si="0"/>
        <v>10392</v>
      </c>
    </row>
    <row r="14" spans="1:5" x14ac:dyDescent="0.35">
      <c r="A14" s="777">
        <v>8</v>
      </c>
      <c r="B14" s="777" t="s">
        <v>1402</v>
      </c>
      <c r="C14" s="777">
        <v>8</v>
      </c>
      <c r="D14" s="777">
        <v>650</v>
      </c>
      <c r="E14" s="777">
        <f t="shared" si="0"/>
        <v>5200</v>
      </c>
    </row>
    <row r="15" spans="1:5" x14ac:dyDescent="0.35">
      <c r="A15" s="777">
        <v>9</v>
      </c>
      <c r="B15" s="777" t="s">
        <v>1403</v>
      </c>
      <c r="C15" s="777">
        <v>8</v>
      </c>
      <c r="D15" s="777">
        <v>120</v>
      </c>
      <c r="E15" s="777">
        <f t="shared" si="0"/>
        <v>960</v>
      </c>
    </row>
    <row r="16" spans="1:5" x14ac:dyDescent="0.35">
      <c r="A16" s="777">
        <v>10</v>
      </c>
      <c r="B16" s="777" t="s">
        <v>1404</v>
      </c>
      <c r="C16" s="777"/>
      <c r="D16" s="777"/>
      <c r="E16" s="777"/>
    </row>
    <row r="17" spans="1:5" x14ac:dyDescent="0.35">
      <c r="A17" s="777"/>
      <c r="B17" s="777" t="s">
        <v>1405</v>
      </c>
      <c r="C17" s="777">
        <v>2</v>
      </c>
      <c r="D17" s="777">
        <v>480</v>
      </c>
      <c r="E17" s="777">
        <f t="shared" ref="E17:E26" si="1">C17*D17</f>
        <v>960</v>
      </c>
    </row>
    <row r="18" spans="1:5" x14ac:dyDescent="0.35">
      <c r="A18" s="777"/>
      <c r="B18" s="777" t="s">
        <v>1406</v>
      </c>
      <c r="C18" s="777">
        <v>1</v>
      </c>
      <c r="D18" s="777">
        <v>670</v>
      </c>
      <c r="E18" s="777">
        <f t="shared" si="1"/>
        <v>670</v>
      </c>
    </row>
    <row r="19" spans="1:5" x14ac:dyDescent="0.35">
      <c r="A19" s="777"/>
      <c r="B19" s="777" t="s">
        <v>1407</v>
      </c>
      <c r="C19" s="777">
        <v>6</v>
      </c>
      <c r="D19" s="777">
        <v>150</v>
      </c>
      <c r="E19" s="777">
        <f t="shared" si="1"/>
        <v>900</v>
      </c>
    </row>
    <row r="20" spans="1:5" x14ac:dyDescent="0.35">
      <c r="A20" s="777"/>
      <c r="B20" s="777" t="s">
        <v>1408</v>
      </c>
      <c r="C20" s="777">
        <v>6</v>
      </c>
      <c r="D20" s="777">
        <v>70</v>
      </c>
      <c r="E20" s="777">
        <f t="shared" si="1"/>
        <v>420</v>
      </c>
    </row>
    <row r="21" spans="1:5" x14ac:dyDescent="0.35">
      <c r="A21" s="777"/>
      <c r="B21" s="777" t="s">
        <v>1409</v>
      </c>
      <c r="C21" s="777">
        <v>6</v>
      </c>
      <c r="D21" s="777">
        <v>70</v>
      </c>
      <c r="E21" s="777">
        <f t="shared" si="1"/>
        <v>420</v>
      </c>
    </row>
    <row r="22" spans="1:5" x14ac:dyDescent="0.35">
      <c r="A22" s="777"/>
      <c r="B22" s="777" t="s">
        <v>1410</v>
      </c>
      <c r="C22" s="777">
        <v>4</v>
      </c>
      <c r="D22" s="777">
        <v>120</v>
      </c>
      <c r="E22" s="777">
        <f t="shared" si="1"/>
        <v>480</v>
      </c>
    </row>
    <row r="23" spans="1:5" x14ac:dyDescent="0.35">
      <c r="A23" s="777"/>
      <c r="B23" s="777" t="s">
        <v>1411</v>
      </c>
      <c r="C23" s="777">
        <v>2</v>
      </c>
      <c r="D23" s="777">
        <v>452</v>
      </c>
      <c r="E23" s="777">
        <f t="shared" si="1"/>
        <v>904</v>
      </c>
    </row>
    <row r="24" spans="1:5" x14ac:dyDescent="0.35">
      <c r="A24" s="777"/>
      <c r="B24" s="777" t="s">
        <v>1412</v>
      </c>
      <c r="C24" s="777">
        <v>2</v>
      </c>
      <c r="D24" s="777">
        <v>475</v>
      </c>
      <c r="E24" s="777">
        <f t="shared" si="1"/>
        <v>950</v>
      </c>
    </row>
    <row r="25" spans="1:5" x14ac:dyDescent="0.35">
      <c r="A25" s="777">
        <v>11</v>
      </c>
      <c r="B25" s="777" t="s">
        <v>1413</v>
      </c>
      <c r="C25" s="777">
        <v>1</v>
      </c>
      <c r="D25" s="777">
        <v>342</v>
      </c>
      <c r="E25" s="777">
        <f t="shared" si="1"/>
        <v>342</v>
      </c>
    </row>
    <row r="26" spans="1:5" x14ac:dyDescent="0.35">
      <c r="A26" s="777">
        <v>12</v>
      </c>
      <c r="B26" s="777" t="s">
        <v>1414</v>
      </c>
      <c r="C26" s="777">
        <v>1</v>
      </c>
      <c r="D26" s="777">
        <v>567</v>
      </c>
      <c r="E26" s="777">
        <f t="shared" si="1"/>
        <v>567</v>
      </c>
    </row>
    <row r="27" spans="1:5" x14ac:dyDescent="0.35">
      <c r="A27" s="777"/>
      <c r="B27" s="777"/>
      <c r="C27" s="777"/>
      <c r="D27" s="777"/>
      <c r="E27" s="777"/>
    </row>
    <row r="28" spans="1:5" x14ac:dyDescent="0.35">
      <c r="A28" s="777"/>
      <c r="B28" s="777" t="s">
        <v>95</v>
      </c>
      <c r="C28" s="777"/>
      <c r="D28" s="777"/>
      <c r="E28" s="777">
        <f>E7+E8+E9+E10+E11+E12+E13+E14+E15+E17+E18+E19+E20+E21+E22+E23+E24+E25+E26</f>
        <v>93244</v>
      </c>
    </row>
    <row r="31" spans="1:5" x14ac:dyDescent="0.35">
      <c r="B31" t="s">
        <v>1259</v>
      </c>
      <c r="D31" t="s">
        <v>1169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22" workbookViewId="0">
      <selection activeCell="J57" sqref="A1:J57"/>
    </sheetView>
  </sheetViews>
  <sheetFormatPr defaultRowHeight="14.5" x14ac:dyDescent="0.35"/>
  <cols>
    <col min="2" max="2" width="44.453125" customWidth="1"/>
    <col min="3" max="3" width="10.7265625" customWidth="1"/>
  </cols>
  <sheetData>
    <row r="1" spans="1:6" x14ac:dyDescent="0.35">
      <c r="A1" s="44"/>
      <c r="B1" s="44"/>
    </row>
    <row r="2" spans="1:6" ht="24" customHeight="1" x14ac:dyDescent="0.35">
      <c r="A2" s="1090" t="s">
        <v>370</v>
      </c>
      <c r="B2" s="1090"/>
    </row>
    <row r="3" spans="1:6" x14ac:dyDescent="0.35">
      <c r="A3" s="650"/>
      <c r="B3" s="696" t="s">
        <v>1226</v>
      </c>
    </row>
    <row r="4" spans="1:6" x14ac:dyDescent="0.35">
      <c r="A4" s="113"/>
      <c r="B4" s="771" t="s">
        <v>364</v>
      </c>
      <c r="C4" t="s">
        <v>1371</v>
      </c>
    </row>
    <row r="5" spans="1:6" ht="15" customHeight="1" x14ac:dyDescent="0.35">
      <c r="A5" s="1091" t="s">
        <v>208</v>
      </c>
      <c r="B5" s="1091" t="s">
        <v>297</v>
      </c>
      <c r="C5" s="1087" t="s">
        <v>1227</v>
      </c>
      <c r="D5" s="739"/>
      <c r="E5" s="29"/>
      <c r="F5" s="29"/>
    </row>
    <row r="6" spans="1:6" x14ac:dyDescent="0.35">
      <c r="A6" s="1092"/>
      <c r="B6" s="1092"/>
      <c r="C6" s="1088"/>
      <c r="D6" s="739"/>
      <c r="E6" s="29"/>
      <c r="F6" s="29"/>
    </row>
    <row r="7" spans="1:6" x14ac:dyDescent="0.35">
      <c r="A7" s="233">
        <v>1</v>
      </c>
      <c r="B7" s="233">
        <v>2</v>
      </c>
      <c r="C7" s="731"/>
      <c r="D7" s="739"/>
      <c r="E7" s="29"/>
      <c r="F7" s="29"/>
    </row>
    <row r="8" spans="1:6" x14ac:dyDescent="0.35">
      <c r="A8" s="114" t="s">
        <v>30</v>
      </c>
      <c r="B8" s="115" t="s">
        <v>371</v>
      </c>
      <c r="C8" s="732">
        <v>4119.47</v>
      </c>
      <c r="D8" s="740" t="s">
        <v>1323</v>
      </c>
      <c r="E8" s="29"/>
      <c r="F8" s="29"/>
    </row>
    <row r="9" spans="1:6" ht="24" x14ac:dyDescent="0.35">
      <c r="A9" s="114" t="s">
        <v>32</v>
      </c>
      <c r="B9" s="115" t="s">
        <v>869</v>
      </c>
      <c r="C9" s="732">
        <v>5391.1</v>
      </c>
      <c r="D9" s="741"/>
      <c r="E9" s="29"/>
      <c r="F9" s="29"/>
    </row>
    <row r="10" spans="1:6" x14ac:dyDescent="0.35">
      <c r="A10" s="114"/>
      <c r="B10" s="115" t="s">
        <v>372</v>
      </c>
      <c r="C10" s="732"/>
      <c r="D10" s="741"/>
      <c r="E10" s="29"/>
      <c r="F10" s="29"/>
    </row>
    <row r="11" spans="1:6" ht="17.25" customHeight="1" x14ac:dyDescent="0.35">
      <c r="A11" s="114" t="s">
        <v>34</v>
      </c>
      <c r="B11" s="115" t="s">
        <v>868</v>
      </c>
      <c r="C11" s="732">
        <v>1913.4</v>
      </c>
      <c r="D11" s="740" t="s">
        <v>1324</v>
      </c>
      <c r="E11" s="29"/>
      <c r="F11" s="29"/>
    </row>
    <row r="12" spans="1:6" x14ac:dyDescent="0.35">
      <c r="A12" s="114">
        <v>3.1</v>
      </c>
      <c r="B12" s="115" t="s">
        <v>373</v>
      </c>
      <c r="C12" s="732">
        <v>0</v>
      </c>
      <c r="D12" s="741"/>
      <c r="E12" s="29"/>
      <c r="F12" s="29"/>
    </row>
    <row r="13" spans="1:6" x14ac:dyDescent="0.35">
      <c r="A13" s="114" t="s">
        <v>227</v>
      </c>
      <c r="B13" s="115" t="s">
        <v>374</v>
      </c>
      <c r="C13" s="732"/>
      <c r="D13" s="741"/>
      <c r="E13" s="29"/>
      <c r="F13" s="29"/>
    </row>
    <row r="14" spans="1:6" x14ac:dyDescent="0.35">
      <c r="A14" s="114" t="s">
        <v>300</v>
      </c>
      <c r="B14" s="115" t="s">
        <v>375</v>
      </c>
      <c r="C14" s="732">
        <v>205.5</v>
      </c>
      <c r="D14" s="741"/>
      <c r="E14" s="29"/>
      <c r="F14" s="29"/>
    </row>
    <row r="15" spans="1:6" x14ac:dyDescent="0.35">
      <c r="A15" s="114" t="s">
        <v>376</v>
      </c>
      <c r="B15" s="115" t="s">
        <v>377</v>
      </c>
      <c r="C15" s="732"/>
      <c r="D15" s="741"/>
      <c r="E15" s="29"/>
      <c r="F15" s="29"/>
    </row>
    <row r="16" spans="1:6" x14ac:dyDescent="0.35">
      <c r="A16" s="114" t="s">
        <v>378</v>
      </c>
      <c r="B16" s="115" t="s">
        <v>379</v>
      </c>
      <c r="C16" s="732">
        <v>205.5</v>
      </c>
      <c r="D16" s="741"/>
      <c r="E16" s="29"/>
      <c r="F16" s="29"/>
    </row>
    <row r="17" spans="1:8" x14ac:dyDescent="0.35">
      <c r="A17" s="114" t="s">
        <v>302</v>
      </c>
      <c r="B17" s="115" t="s">
        <v>380</v>
      </c>
      <c r="C17" s="732">
        <v>82157.05</v>
      </c>
      <c r="D17" s="740" t="s">
        <v>1325</v>
      </c>
      <c r="E17" s="29"/>
      <c r="F17" s="29"/>
    </row>
    <row r="18" spans="1:8" x14ac:dyDescent="0.35">
      <c r="A18" s="114"/>
      <c r="B18" s="115" t="s">
        <v>372</v>
      </c>
      <c r="C18" s="732"/>
      <c r="D18" s="741"/>
      <c r="E18" s="29"/>
      <c r="F18" s="29"/>
    </row>
    <row r="19" spans="1:8" x14ac:dyDescent="0.35">
      <c r="A19" s="114" t="s">
        <v>36</v>
      </c>
      <c r="B19" s="115" t="s">
        <v>381</v>
      </c>
      <c r="C19" s="733">
        <v>24714.91</v>
      </c>
      <c r="D19" s="740" t="s">
        <v>1326</v>
      </c>
      <c r="E19" s="29"/>
      <c r="F19" s="29"/>
    </row>
    <row r="20" spans="1:8" x14ac:dyDescent="0.35">
      <c r="A20" s="114"/>
      <c r="B20" s="115" t="s">
        <v>372</v>
      </c>
      <c r="C20" s="732"/>
      <c r="D20" s="741"/>
      <c r="E20" s="29"/>
      <c r="F20" s="29"/>
    </row>
    <row r="21" spans="1:8" x14ac:dyDescent="0.35">
      <c r="A21" s="114" t="s">
        <v>305</v>
      </c>
      <c r="B21" s="115" t="s">
        <v>382</v>
      </c>
      <c r="C21" s="732">
        <v>14010.6</v>
      </c>
      <c r="D21" s="740" t="s">
        <v>1343</v>
      </c>
      <c r="E21" s="29"/>
      <c r="F21" s="29"/>
    </row>
    <row r="22" spans="1:8" x14ac:dyDescent="0.35">
      <c r="A22" s="114" t="s">
        <v>310</v>
      </c>
      <c r="B22" s="115" t="s">
        <v>383</v>
      </c>
      <c r="C22" s="745">
        <f>C23+C24+C25+C26+C27+C31</f>
        <v>22011.11</v>
      </c>
      <c r="D22" s="741"/>
      <c r="E22" s="29"/>
      <c r="F22" s="29"/>
    </row>
    <row r="23" spans="1:8" ht="24" x14ac:dyDescent="0.35">
      <c r="A23" s="114" t="s">
        <v>384</v>
      </c>
      <c r="B23" s="115" t="s">
        <v>1346</v>
      </c>
      <c r="C23" s="732">
        <v>420</v>
      </c>
      <c r="D23" s="740"/>
      <c r="E23" s="29"/>
      <c r="F23" s="29"/>
    </row>
    <row r="24" spans="1:8" x14ac:dyDescent="0.35">
      <c r="A24" s="114" t="s">
        <v>385</v>
      </c>
      <c r="B24" s="115" t="s">
        <v>950</v>
      </c>
      <c r="C24" s="732">
        <v>57.53</v>
      </c>
      <c r="D24" s="740" t="s">
        <v>1327</v>
      </c>
      <c r="E24" s="29"/>
      <c r="F24" s="29"/>
    </row>
    <row r="25" spans="1:8" x14ac:dyDescent="0.35">
      <c r="A25" s="114" t="s">
        <v>386</v>
      </c>
      <c r="B25" s="115" t="s">
        <v>387</v>
      </c>
      <c r="C25" s="732">
        <v>20</v>
      </c>
      <c r="D25" s="741"/>
      <c r="E25" s="29"/>
      <c r="F25" s="29"/>
    </row>
    <row r="26" spans="1:8" ht="88" customHeight="1" x14ac:dyDescent="0.35">
      <c r="A26" s="114">
        <v>9.4</v>
      </c>
      <c r="B26" s="682" t="s">
        <v>1260</v>
      </c>
      <c r="C26" s="732">
        <f>9475.35+3619.75</f>
        <v>13095.1</v>
      </c>
      <c r="D26" s="1085" t="s">
        <v>1385</v>
      </c>
      <c r="E26" s="1086"/>
      <c r="F26" s="1086"/>
      <c r="G26" s="1086"/>
      <c r="H26" s="1086"/>
    </row>
    <row r="27" spans="1:8" ht="24" x14ac:dyDescent="0.35">
      <c r="A27" s="114" t="s">
        <v>388</v>
      </c>
      <c r="B27" s="115" t="s">
        <v>389</v>
      </c>
      <c r="C27" s="732">
        <f t="shared" ref="C27" si="0">C29+C30</f>
        <v>3676.2</v>
      </c>
      <c r="D27" s="741"/>
      <c r="E27" s="29"/>
      <c r="F27" s="29"/>
    </row>
    <row r="28" spans="1:8" x14ac:dyDescent="0.35">
      <c r="A28" s="114" t="s">
        <v>390</v>
      </c>
      <c r="B28" s="115" t="s">
        <v>391</v>
      </c>
      <c r="C28" s="732"/>
      <c r="D28" s="741"/>
      <c r="E28" s="29"/>
      <c r="F28" s="29"/>
    </row>
    <row r="29" spans="1:8" x14ac:dyDescent="0.35">
      <c r="A29" s="114" t="s">
        <v>392</v>
      </c>
      <c r="B29" s="115" t="s">
        <v>393</v>
      </c>
      <c r="C29" s="732">
        <v>45.54</v>
      </c>
      <c r="D29" s="740" t="s">
        <v>1328</v>
      </c>
      <c r="E29" s="29"/>
      <c r="F29" s="29"/>
    </row>
    <row r="30" spans="1:8" x14ac:dyDescent="0.35">
      <c r="A30" s="114" t="s">
        <v>394</v>
      </c>
      <c r="B30" s="115" t="s">
        <v>395</v>
      </c>
      <c r="C30" s="732">
        <v>3630.66</v>
      </c>
      <c r="D30" s="740" t="s">
        <v>1329</v>
      </c>
      <c r="E30" s="29"/>
      <c r="F30" s="29"/>
    </row>
    <row r="31" spans="1:8" ht="24" x14ac:dyDescent="0.35">
      <c r="A31" s="114" t="s">
        <v>396</v>
      </c>
      <c r="B31" s="115" t="s">
        <v>397</v>
      </c>
      <c r="C31" s="733">
        <v>4742.28</v>
      </c>
      <c r="D31" s="740" t="s">
        <v>1330</v>
      </c>
      <c r="E31" s="29"/>
      <c r="F31" s="29"/>
    </row>
    <row r="32" spans="1:8" x14ac:dyDescent="0.35">
      <c r="A32" s="114" t="s">
        <v>398</v>
      </c>
      <c r="B32" s="115"/>
      <c r="C32" s="732"/>
      <c r="D32" s="740"/>
      <c r="E32" s="29"/>
      <c r="F32" s="29"/>
    </row>
    <row r="33" spans="1:6" x14ac:dyDescent="0.35">
      <c r="A33" s="118"/>
      <c r="B33" s="115"/>
      <c r="C33" s="732"/>
      <c r="D33" s="740"/>
      <c r="E33" s="29"/>
      <c r="F33" s="29"/>
    </row>
    <row r="34" spans="1:6" x14ac:dyDescent="0.35">
      <c r="A34" s="114" t="s">
        <v>311</v>
      </c>
      <c r="B34" s="115" t="s">
        <v>399</v>
      </c>
      <c r="C34" s="734">
        <f>C8+C9+C11+C13+C14+C17+C19+C21+C22+C33</f>
        <v>154523.14000000001</v>
      </c>
      <c r="D34" s="739"/>
      <c r="E34" s="29"/>
      <c r="F34" s="29"/>
    </row>
    <row r="35" spans="1:6" x14ac:dyDescent="0.35">
      <c r="A35" s="114" t="s">
        <v>312</v>
      </c>
      <c r="B35" s="115" t="s">
        <v>400</v>
      </c>
      <c r="C35" s="732"/>
      <c r="D35" s="739"/>
      <c r="E35" s="29"/>
      <c r="F35" s="29"/>
    </row>
    <row r="36" spans="1:6" ht="24" x14ac:dyDescent="0.35">
      <c r="A36" s="114" t="s">
        <v>401</v>
      </c>
      <c r="B36" s="115" t="s">
        <v>402</v>
      </c>
      <c r="C36" s="732"/>
      <c r="D36" s="739"/>
      <c r="E36" s="29"/>
      <c r="F36" s="29"/>
    </row>
    <row r="37" spans="1:6" x14ac:dyDescent="0.35">
      <c r="A37" s="114"/>
      <c r="B37" s="115"/>
      <c r="C37" s="732"/>
      <c r="D37" s="739"/>
      <c r="E37" s="29"/>
      <c r="F37" s="29"/>
    </row>
    <row r="38" spans="1:6" x14ac:dyDescent="0.35">
      <c r="A38" s="116" t="s">
        <v>403</v>
      </c>
      <c r="B38" s="117" t="s">
        <v>404</v>
      </c>
      <c r="C38" s="735">
        <f t="shared" ref="C38" si="1">C34</f>
        <v>154523.14000000001</v>
      </c>
      <c r="D38" s="739"/>
      <c r="E38" s="29"/>
      <c r="F38" s="29"/>
    </row>
    <row r="39" spans="1:6" x14ac:dyDescent="0.35">
      <c r="A39" s="114"/>
      <c r="B39" s="115" t="s">
        <v>405</v>
      </c>
      <c r="C39" s="732"/>
      <c r="D39" s="739"/>
      <c r="E39" s="29"/>
      <c r="F39" s="29"/>
    </row>
    <row r="40" spans="1:6" x14ac:dyDescent="0.35">
      <c r="A40" s="118" t="s">
        <v>406</v>
      </c>
      <c r="B40" s="115" t="s">
        <v>407</v>
      </c>
      <c r="C40" s="732"/>
      <c r="D40" s="739"/>
      <c r="E40" s="29"/>
      <c r="F40" s="29"/>
    </row>
    <row r="41" spans="1:6" x14ac:dyDescent="0.35">
      <c r="A41" s="118" t="s">
        <v>408</v>
      </c>
      <c r="B41" s="115" t="s">
        <v>409</v>
      </c>
      <c r="C41" s="732"/>
      <c r="D41" s="739"/>
      <c r="E41" s="29"/>
      <c r="F41" s="29"/>
    </row>
    <row r="42" spans="1:6" x14ac:dyDescent="0.35">
      <c r="A42" s="118" t="s">
        <v>410</v>
      </c>
      <c r="B42" s="115" t="s">
        <v>411</v>
      </c>
      <c r="C42" s="732"/>
      <c r="D42" s="739"/>
      <c r="E42" s="29"/>
      <c r="F42" s="29"/>
    </row>
    <row r="43" spans="1:6" x14ac:dyDescent="0.35">
      <c r="A43" s="118" t="s">
        <v>412</v>
      </c>
      <c r="B43" s="115" t="s">
        <v>413</v>
      </c>
      <c r="C43" s="732"/>
      <c r="D43" s="739"/>
      <c r="E43" s="29"/>
      <c r="F43" s="29"/>
    </row>
    <row r="44" spans="1:6" x14ac:dyDescent="0.35">
      <c r="A44" s="114" t="s">
        <v>414</v>
      </c>
      <c r="B44" s="115" t="s">
        <v>415</v>
      </c>
      <c r="C44" s="732"/>
      <c r="D44" s="739"/>
      <c r="E44" s="29"/>
      <c r="F44" s="29"/>
    </row>
    <row r="45" spans="1:6" x14ac:dyDescent="0.35">
      <c r="A45" s="118" t="s">
        <v>416</v>
      </c>
      <c r="B45" s="115" t="s">
        <v>417</v>
      </c>
      <c r="C45" s="732"/>
      <c r="D45" s="739"/>
      <c r="E45" s="29"/>
      <c r="F45" s="29"/>
    </row>
    <row r="46" spans="1:6" x14ac:dyDescent="0.35">
      <c r="A46" s="118" t="s">
        <v>418</v>
      </c>
      <c r="B46" s="115" t="s">
        <v>419</v>
      </c>
      <c r="C46" s="732"/>
      <c r="D46" s="739"/>
      <c r="E46" s="29"/>
      <c r="F46" s="29"/>
    </row>
    <row r="47" spans="1:6" x14ac:dyDescent="0.35">
      <c r="A47" s="118" t="s">
        <v>420</v>
      </c>
      <c r="B47" s="115" t="s">
        <v>421</v>
      </c>
      <c r="C47" s="732"/>
      <c r="D47" s="739"/>
      <c r="E47" s="29"/>
      <c r="F47" s="29"/>
    </row>
    <row r="48" spans="1:6" x14ac:dyDescent="0.35">
      <c r="A48" s="114" t="s">
        <v>422</v>
      </c>
      <c r="B48" s="115" t="s">
        <v>423</v>
      </c>
      <c r="C48" s="732"/>
      <c r="D48" s="739"/>
      <c r="E48" s="29"/>
      <c r="F48" s="29"/>
    </row>
    <row r="49" spans="1:6" x14ac:dyDescent="0.35">
      <c r="A49" s="119"/>
      <c r="B49" s="233" t="s">
        <v>424</v>
      </c>
      <c r="C49" s="736"/>
      <c r="D49" s="739"/>
      <c r="E49" s="29"/>
      <c r="F49" s="29"/>
    </row>
    <row r="50" spans="1:6" x14ac:dyDescent="0.35">
      <c r="A50" s="44"/>
      <c r="B50" s="121" t="s">
        <v>425</v>
      </c>
      <c r="C50" s="737">
        <f t="shared" ref="C50" si="2">C38</f>
        <v>154523.14000000001</v>
      </c>
      <c r="D50" s="739"/>
      <c r="E50" s="29"/>
      <c r="F50" s="29"/>
    </row>
    <row r="51" spans="1:6" x14ac:dyDescent="0.35">
      <c r="A51" s="108"/>
      <c r="B51" s="115" t="s">
        <v>372</v>
      </c>
      <c r="C51" s="732"/>
      <c r="D51" s="739"/>
      <c r="E51" s="29"/>
      <c r="F51" s="29"/>
    </row>
    <row r="52" spans="1:6" x14ac:dyDescent="0.35">
      <c r="A52" s="44"/>
      <c r="B52" s="122" t="s">
        <v>424</v>
      </c>
      <c r="C52" s="732">
        <v>28522</v>
      </c>
      <c r="D52" s="739"/>
      <c r="E52" s="29"/>
      <c r="F52" s="29"/>
    </row>
    <row r="53" spans="1:6" x14ac:dyDescent="0.35">
      <c r="A53" s="108"/>
      <c r="B53" s="115" t="s">
        <v>426</v>
      </c>
      <c r="C53" s="738">
        <f t="shared" ref="C53" si="3">C50+C52</f>
        <v>183045.14</v>
      </c>
      <c r="D53" s="739"/>
      <c r="E53" s="29"/>
      <c r="F53" s="29"/>
    </row>
    <row r="54" spans="1:6" x14ac:dyDescent="0.35">
      <c r="A54" s="1089"/>
      <c r="B54" s="1089"/>
      <c r="D54" s="739"/>
      <c r="E54" s="29"/>
      <c r="F54" s="29"/>
    </row>
    <row r="55" spans="1:6" x14ac:dyDescent="0.35">
      <c r="A55" s="44"/>
      <c r="B55" s="44"/>
      <c r="D55" s="739"/>
      <c r="E55" s="29"/>
      <c r="F55" s="29"/>
    </row>
    <row r="56" spans="1:6" x14ac:dyDescent="0.35">
      <c r="A56" s="44"/>
      <c r="B56" s="123" t="s">
        <v>866</v>
      </c>
      <c r="D56" s="739"/>
      <c r="E56" s="29"/>
      <c r="F56" s="29"/>
    </row>
    <row r="57" spans="1:6" x14ac:dyDescent="0.35">
      <c r="D57" s="739"/>
      <c r="E57" s="29"/>
      <c r="F57" s="29"/>
    </row>
  </sheetData>
  <mergeCells count="6">
    <mergeCell ref="D26:H26"/>
    <mergeCell ref="C5:C6"/>
    <mergeCell ref="A54:B54"/>
    <mergeCell ref="A2:B2"/>
    <mergeCell ref="A5:A6"/>
    <mergeCell ref="B5:B6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>
      <selection activeCell="E79" sqref="A1:E79"/>
    </sheetView>
  </sheetViews>
  <sheetFormatPr defaultRowHeight="14.5" x14ac:dyDescent="0.35"/>
  <cols>
    <col min="1" max="1" width="6" style="44" customWidth="1"/>
    <col min="2" max="2" width="48.90625" style="44" customWidth="1"/>
    <col min="3" max="3" width="11" style="44" customWidth="1"/>
    <col min="4" max="16384" width="8.7265625" style="44"/>
  </cols>
  <sheetData>
    <row r="1" spans="1:3" ht="33.75" customHeight="1" x14ac:dyDescent="0.35">
      <c r="B1" s="697" t="s">
        <v>873</v>
      </c>
    </row>
    <row r="2" spans="1:3" x14ac:dyDescent="0.35">
      <c r="B2" s="462"/>
      <c r="C2" s="44" t="s">
        <v>364</v>
      </c>
    </row>
    <row r="3" spans="1:3" x14ac:dyDescent="0.35">
      <c r="A3" s="108" t="s">
        <v>427</v>
      </c>
      <c r="B3" s="108" t="s">
        <v>209</v>
      </c>
      <c r="C3" s="108" t="s">
        <v>951</v>
      </c>
    </row>
    <row r="4" spans="1:3" x14ac:dyDescent="0.35">
      <c r="A4" s="108">
        <v>1</v>
      </c>
      <c r="B4" s="88" t="s">
        <v>429</v>
      </c>
      <c r="C4" s="108"/>
    </row>
    <row r="5" spans="1:3" ht="45.75" customHeight="1" x14ac:dyDescent="0.35">
      <c r="A5" s="124" t="s">
        <v>430</v>
      </c>
      <c r="B5" s="109" t="s">
        <v>874</v>
      </c>
      <c r="C5" s="108">
        <f>4119.47+5391.1</f>
        <v>9510.57</v>
      </c>
    </row>
    <row r="6" spans="1:3" ht="31.5" customHeight="1" x14ac:dyDescent="0.35">
      <c r="A6" s="124" t="s">
        <v>431</v>
      </c>
      <c r="B6" s="109" t="s">
        <v>1349</v>
      </c>
      <c r="C6" s="108">
        <v>1913.4</v>
      </c>
    </row>
    <row r="7" spans="1:3" x14ac:dyDescent="0.35">
      <c r="A7" s="124" t="s">
        <v>432</v>
      </c>
      <c r="B7" s="109" t="s">
        <v>433</v>
      </c>
      <c r="C7" s="108"/>
    </row>
    <row r="8" spans="1:3" x14ac:dyDescent="0.35">
      <c r="A8" s="124" t="s">
        <v>434</v>
      </c>
      <c r="B8" s="108" t="s">
        <v>435</v>
      </c>
      <c r="C8" s="108">
        <v>82157.05</v>
      </c>
    </row>
    <row r="9" spans="1:3" x14ac:dyDescent="0.35">
      <c r="A9" s="124" t="s">
        <v>436</v>
      </c>
      <c r="B9" s="108" t="s">
        <v>437</v>
      </c>
      <c r="C9" s="108"/>
    </row>
    <row r="10" spans="1:3" x14ac:dyDescent="0.35">
      <c r="A10" s="124" t="s">
        <v>438</v>
      </c>
      <c r="B10" s="109" t="s">
        <v>439</v>
      </c>
      <c r="C10" s="108"/>
    </row>
    <row r="11" spans="1:3" x14ac:dyDescent="0.35">
      <c r="A11" s="108"/>
      <c r="B11" s="108" t="s">
        <v>440</v>
      </c>
      <c r="C11" s="108">
        <f>397.2+92.6</f>
        <v>489.79999999999995</v>
      </c>
    </row>
    <row r="12" spans="1:3" x14ac:dyDescent="0.35">
      <c r="A12" s="108"/>
      <c r="B12" s="109" t="s">
        <v>875</v>
      </c>
      <c r="C12" s="108">
        <f>212.4+4.1</f>
        <v>216.5</v>
      </c>
    </row>
    <row r="13" spans="1:3" x14ac:dyDescent="0.35">
      <c r="A13" s="108"/>
      <c r="B13" s="109" t="s">
        <v>926</v>
      </c>
      <c r="C13" s="108">
        <f>360+60.8</f>
        <v>420.8</v>
      </c>
    </row>
    <row r="14" spans="1:3" ht="14" customHeight="1" x14ac:dyDescent="0.35">
      <c r="A14" s="108"/>
      <c r="B14" s="109" t="s">
        <v>1351</v>
      </c>
      <c r="C14" s="108">
        <f>91.2+12</f>
        <v>103.2</v>
      </c>
    </row>
    <row r="15" spans="1:3" ht="14" customHeight="1" x14ac:dyDescent="0.35">
      <c r="A15" s="108"/>
      <c r="B15" s="109" t="s">
        <v>1352</v>
      </c>
      <c r="C15" s="108">
        <f>33.7+19.6</f>
        <v>53.300000000000004</v>
      </c>
    </row>
    <row r="16" spans="1:3" ht="14" customHeight="1" x14ac:dyDescent="0.35">
      <c r="A16" s="108"/>
      <c r="B16" s="109" t="s">
        <v>1353</v>
      </c>
      <c r="C16" s="108">
        <v>8.1</v>
      </c>
    </row>
    <row r="17" spans="1:3" ht="14" customHeight="1" x14ac:dyDescent="0.35">
      <c r="A17" s="108"/>
      <c r="B17" s="109" t="s">
        <v>1354</v>
      </c>
      <c r="C17" s="108">
        <f>12+31.2+38+36.5</f>
        <v>117.7</v>
      </c>
    </row>
    <row r="18" spans="1:3" ht="14" customHeight="1" x14ac:dyDescent="0.35">
      <c r="A18" s="108"/>
      <c r="B18" s="109" t="s">
        <v>1359</v>
      </c>
      <c r="C18" s="108">
        <v>126</v>
      </c>
    </row>
    <row r="19" spans="1:3" ht="14" customHeight="1" x14ac:dyDescent="0.35">
      <c r="A19" s="108"/>
      <c r="B19" s="109" t="s">
        <v>1355</v>
      </c>
      <c r="C19" s="108">
        <f>28+30.6</f>
        <v>58.6</v>
      </c>
    </row>
    <row r="20" spans="1:3" ht="30" customHeight="1" x14ac:dyDescent="0.35">
      <c r="A20" s="108"/>
      <c r="B20" s="764" t="s">
        <v>1356</v>
      </c>
      <c r="C20" s="108">
        <v>126.1</v>
      </c>
    </row>
    <row r="21" spans="1:3" ht="13" customHeight="1" x14ac:dyDescent="0.35">
      <c r="A21" s="108"/>
      <c r="B21" s="764" t="s">
        <v>1357</v>
      </c>
      <c r="C21" s="108">
        <v>8.5</v>
      </c>
    </row>
    <row r="22" spans="1:3" x14ac:dyDescent="0.35">
      <c r="A22" s="108" t="s">
        <v>441</v>
      </c>
      <c r="B22" s="109" t="s">
        <v>442</v>
      </c>
      <c r="C22" s="108">
        <f>474.8+309.4</f>
        <v>784.2</v>
      </c>
    </row>
    <row r="23" spans="1:3" x14ac:dyDescent="0.35">
      <c r="A23" s="108" t="s">
        <v>443</v>
      </c>
      <c r="B23" s="109" t="s">
        <v>876</v>
      </c>
      <c r="C23" s="108">
        <f>188.7+42.2</f>
        <v>230.89999999999998</v>
      </c>
    </row>
    <row r="24" spans="1:3" ht="34.5" customHeight="1" x14ac:dyDescent="0.35">
      <c r="A24" s="108" t="s">
        <v>444</v>
      </c>
      <c r="B24" s="109" t="s">
        <v>304</v>
      </c>
      <c r="C24" s="108"/>
    </row>
    <row r="25" spans="1:3" x14ac:dyDescent="0.35">
      <c r="A25" s="108" t="s">
        <v>445</v>
      </c>
      <c r="B25" s="109" t="s">
        <v>446</v>
      </c>
      <c r="C25" s="744">
        <f>51.6+5.9</f>
        <v>57.5</v>
      </c>
    </row>
    <row r="26" spans="1:3" x14ac:dyDescent="0.35">
      <c r="A26" s="108" t="s">
        <v>447</v>
      </c>
      <c r="B26" s="109" t="s">
        <v>448</v>
      </c>
      <c r="C26" s="110"/>
    </row>
    <row r="27" spans="1:3" x14ac:dyDescent="0.35">
      <c r="A27" s="108"/>
      <c r="B27" s="109" t="s">
        <v>309</v>
      </c>
      <c r="C27" s="744">
        <f>19.2</f>
        <v>19.2</v>
      </c>
    </row>
    <row r="28" spans="1:3" x14ac:dyDescent="0.35">
      <c r="A28" s="108"/>
      <c r="B28" s="109" t="s">
        <v>925</v>
      </c>
      <c r="C28" s="744">
        <f>155+33</f>
        <v>188</v>
      </c>
    </row>
    <row r="29" spans="1:3" x14ac:dyDescent="0.35">
      <c r="A29" s="108"/>
      <c r="B29" s="109" t="s">
        <v>449</v>
      </c>
      <c r="C29" s="744">
        <f>20+19.8</f>
        <v>39.799999999999997</v>
      </c>
    </row>
    <row r="30" spans="1:3" x14ac:dyDescent="0.35">
      <c r="A30" s="108"/>
      <c r="B30" s="109" t="s">
        <v>450</v>
      </c>
      <c r="C30" s="744">
        <f>29.1+4.9</f>
        <v>34</v>
      </c>
    </row>
    <row r="31" spans="1:3" x14ac:dyDescent="0.35">
      <c r="A31" s="108"/>
      <c r="B31" s="109" t="s">
        <v>451</v>
      </c>
      <c r="C31" s="744">
        <f>25+6.5</f>
        <v>31.5</v>
      </c>
    </row>
    <row r="32" spans="1:3" x14ac:dyDescent="0.35">
      <c r="A32" s="108"/>
      <c r="B32" s="109" t="s">
        <v>1361</v>
      </c>
      <c r="C32" s="744">
        <v>35</v>
      </c>
    </row>
    <row r="33" spans="1:3" x14ac:dyDescent="0.35">
      <c r="A33" s="108"/>
      <c r="B33" s="109" t="s">
        <v>1350</v>
      </c>
      <c r="C33" s="744">
        <v>420</v>
      </c>
    </row>
    <row r="34" spans="1:3" x14ac:dyDescent="0.35">
      <c r="A34" s="108"/>
      <c r="B34" s="109" t="s">
        <v>952</v>
      </c>
      <c r="C34" s="744">
        <f>992.5+247.3</f>
        <v>1239.8</v>
      </c>
    </row>
    <row r="35" spans="1:3" x14ac:dyDescent="0.35">
      <c r="A35" s="108"/>
      <c r="B35" s="109" t="s">
        <v>1360</v>
      </c>
      <c r="C35" s="744">
        <v>14.5</v>
      </c>
    </row>
    <row r="36" spans="1:3" x14ac:dyDescent="0.35">
      <c r="A36" s="126" t="s">
        <v>919</v>
      </c>
      <c r="B36" s="109" t="s">
        <v>920</v>
      </c>
      <c r="C36" s="744">
        <v>13095.1</v>
      </c>
    </row>
    <row r="37" spans="1:3" x14ac:dyDescent="0.35">
      <c r="A37" s="108"/>
      <c r="B37" s="109"/>
      <c r="C37" s="110"/>
    </row>
    <row r="38" spans="1:3" x14ac:dyDescent="0.35">
      <c r="A38" s="108"/>
      <c r="B38" s="125" t="s">
        <v>452</v>
      </c>
      <c r="C38" s="768">
        <f>SUM(C5:C37)</f>
        <v>111499.12000000002</v>
      </c>
    </row>
    <row r="39" spans="1:3" s="241" customFormat="1" x14ac:dyDescent="0.35">
      <c r="B39" s="766"/>
      <c r="C39" s="767"/>
    </row>
    <row r="40" spans="1:3" s="241" customFormat="1" x14ac:dyDescent="0.35">
      <c r="B40" s="766"/>
      <c r="C40" s="767"/>
    </row>
    <row r="41" spans="1:3" s="241" customFormat="1" x14ac:dyDescent="0.35">
      <c r="B41" s="766"/>
      <c r="C41" s="767"/>
    </row>
    <row r="42" spans="1:3" s="241" customFormat="1" x14ac:dyDescent="0.35">
      <c r="B42" s="766"/>
      <c r="C42" s="767"/>
    </row>
    <row r="43" spans="1:3" s="241" customFormat="1" x14ac:dyDescent="0.35">
      <c r="B43" s="766"/>
      <c r="C43" s="767"/>
    </row>
    <row r="44" spans="1:3" ht="15.5" x14ac:dyDescent="0.35">
      <c r="A44" s="297" t="s">
        <v>32</v>
      </c>
      <c r="B44" s="765" t="s">
        <v>453</v>
      </c>
      <c r="C44" s="297"/>
    </row>
    <row r="45" spans="1:3" x14ac:dyDescent="0.35">
      <c r="A45" s="126" t="s">
        <v>454</v>
      </c>
      <c r="B45" s="109" t="s">
        <v>455</v>
      </c>
      <c r="C45" s="108"/>
    </row>
    <row r="46" spans="1:3" x14ac:dyDescent="0.35">
      <c r="A46" s="127" t="s">
        <v>456</v>
      </c>
      <c r="B46" s="109" t="s">
        <v>457</v>
      </c>
      <c r="C46" s="108"/>
    </row>
    <row r="47" spans="1:3" x14ac:dyDescent="0.35">
      <c r="A47" s="108" t="s">
        <v>458</v>
      </c>
      <c r="B47" s="109" t="s">
        <v>379</v>
      </c>
      <c r="C47" s="108">
        <v>205.5</v>
      </c>
    </row>
    <row r="48" spans="1:3" x14ac:dyDescent="0.35">
      <c r="A48" s="126" t="s">
        <v>459</v>
      </c>
      <c r="B48" s="109" t="s">
        <v>460</v>
      </c>
      <c r="C48" s="108"/>
    </row>
    <row r="49" spans="1:3" x14ac:dyDescent="0.35">
      <c r="A49" s="108" t="s">
        <v>461</v>
      </c>
      <c r="B49" s="109" t="s">
        <v>462</v>
      </c>
      <c r="C49" s="108">
        <v>4753.7</v>
      </c>
    </row>
    <row r="50" spans="1:3" x14ac:dyDescent="0.35">
      <c r="A50" s="108" t="s">
        <v>327</v>
      </c>
      <c r="B50" s="109" t="s">
        <v>463</v>
      </c>
      <c r="C50" s="108"/>
    </row>
    <row r="51" spans="1:3" x14ac:dyDescent="0.35">
      <c r="A51" s="108" t="s">
        <v>464</v>
      </c>
      <c r="B51" s="109" t="s">
        <v>465</v>
      </c>
      <c r="C51" s="108">
        <f>41.45+4.1</f>
        <v>45.550000000000004</v>
      </c>
    </row>
    <row r="52" spans="1:3" x14ac:dyDescent="0.35">
      <c r="A52" s="108" t="s">
        <v>466</v>
      </c>
      <c r="B52" s="109" t="s">
        <v>395</v>
      </c>
      <c r="C52" s="108">
        <f>3126.96+503.7</f>
        <v>3630.66</v>
      </c>
    </row>
    <row r="53" spans="1:3" x14ac:dyDescent="0.35">
      <c r="A53" s="108" t="s">
        <v>467</v>
      </c>
      <c r="B53" s="109" t="s">
        <v>468</v>
      </c>
      <c r="C53" s="108"/>
    </row>
    <row r="54" spans="1:3" x14ac:dyDescent="0.35">
      <c r="A54" s="126" t="s">
        <v>469</v>
      </c>
      <c r="B54" s="109" t="s">
        <v>470</v>
      </c>
      <c r="C54" s="108">
        <v>24714.91</v>
      </c>
    </row>
    <row r="55" spans="1:3" x14ac:dyDescent="0.35">
      <c r="A55" s="126" t="s">
        <v>471</v>
      </c>
      <c r="B55" s="109" t="s">
        <v>472</v>
      </c>
      <c r="C55" s="108">
        <v>14010.6</v>
      </c>
    </row>
    <row r="56" spans="1:3" x14ac:dyDescent="0.35">
      <c r="A56" s="108" t="s">
        <v>473</v>
      </c>
      <c r="B56" s="109" t="s">
        <v>474</v>
      </c>
      <c r="C56" s="108"/>
    </row>
    <row r="57" spans="1:3" x14ac:dyDescent="0.35">
      <c r="A57" s="108"/>
      <c r="B57" s="109" t="s">
        <v>475</v>
      </c>
      <c r="C57" s="108"/>
    </row>
    <row r="58" spans="1:3" x14ac:dyDescent="0.35">
      <c r="A58" s="108"/>
      <c r="B58" s="109" t="s">
        <v>1358</v>
      </c>
      <c r="C58" s="108">
        <v>252</v>
      </c>
    </row>
    <row r="59" spans="1:3" x14ac:dyDescent="0.35">
      <c r="A59" s="108"/>
      <c r="B59" s="109" t="s">
        <v>476</v>
      </c>
      <c r="C59" s="108">
        <f>106.8+38</f>
        <v>144.80000000000001</v>
      </c>
    </row>
    <row r="60" spans="1:3" x14ac:dyDescent="0.35">
      <c r="A60" s="108"/>
      <c r="B60" s="109" t="s">
        <v>877</v>
      </c>
      <c r="C60" s="108">
        <v>20</v>
      </c>
    </row>
    <row r="61" spans="1:3" ht="12" customHeight="1" x14ac:dyDescent="0.35">
      <c r="A61" s="108"/>
      <c r="B61" s="109" t="s">
        <v>477</v>
      </c>
      <c r="C61" s="108"/>
    </row>
    <row r="62" spans="1:3" ht="15" customHeight="1" x14ac:dyDescent="0.35">
      <c r="A62" s="108"/>
      <c r="B62" s="109" t="s">
        <v>478</v>
      </c>
      <c r="C62" s="108"/>
    </row>
    <row r="63" spans="1:3" x14ac:dyDescent="0.35">
      <c r="A63" s="108"/>
      <c r="B63" s="125" t="s">
        <v>479</v>
      </c>
      <c r="C63" s="300">
        <f>SUM(C47:C62)</f>
        <v>47777.72</v>
      </c>
    </row>
    <row r="64" spans="1:3" x14ac:dyDescent="0.35">
      <c r="A64" s="108" t="s">
        <v>480</v>
      </c>
      <c r="B64" s="109" t="s">
        <v>481</v>
      </c>
      <c r="C64" s="108"/>
    </row>
    <row r="65" spans="1:3" x14ac:dyDescent="0.35">
      <c r="A65" s="108" t="s">
        <v>227</v>
      </c>
      <c r="B65" s="109" t="s">
        <v>482</v>
      </c>
      <c r="C65" s="108"/>
    </row>
    <row r="66" spans="1:3" ht="15" thickBot="1" x14ac:dyDescent="0.4">
      <c r="A66" s="108"/>
      <c r="B66" s="109"/>
      <c r="C66" s="236"/>
    </row>
    <row r="67" spans="1:3" x14ac:dyDescent="0.35">
      <c r="A67" s="108" t="s">
        <v>300</v>
      </c>
      <c r="B67" s="239" t="s">
        <v>878</v>
      </c>
      <c r="C67" s="769">
        <f>C38+C63</f>
        <v>159276.84000000003</v>
      </c>
    </row>
    <row r="68" spans="1:3" ht="15" thickBot="1" x14ac:dyDescent="0.4">
      <c r="A68" s="236"/>
      <c r="B68" s="240" t="s">
        <v>424</v>
      </c>
      <c r="C68" s="770">
        <v>23768</v>
      </c>
    </row>
    <row r="69" spans="1:3" ht="15" thickBot="1" x14ac:dyDescent="0.4">
      <c r="A69" s="463"/>
      <c r="B69" s="237" t="s">
        <v>879</v>
      </c>
      <c r="C69" s="238">
        <f>C68+C67</f>
        <v>183044.84000000003</v>
      </c>
    </row>
    <row r="70" spans="1:3" ht="30" customHeight="1" x14ac:dyDescent="0.35">
      <c r="A70" s="1093" t="s">
        <v>882</v>
      </c>
      <c r="B70" s="1093"/>
      <c r="C70" s="1093"/>
    </row>
  </sheetData>
  <mergeCells count="1">
    <mergeCell ref="A70:C7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7" workbookViewId="0">
      <selection activeCell="E55" sqref="A1:E55"/>
    </sheetView>
  </sheetViews>
  <sheetFormatPr defaultRowHeight="14.5" x14ac:dyDescent="0.35"/>
  <cols>
    <col min="1" max="1" width="8.7265625" style="604"/>
    <col min="2" max="2" width="42.7265625" style="604" customWidth="1"/>
    <col min="3" max="3" width="11.7265625" style="604" customWidth="1"/>
    <col min="4" max="4" width="14" style="604" customWidth="1"/>
    <col min="5" max="16384" width="8.7265625" style="604"/>
  </cols>
  <sheetData>
    <row r="1" spans="1:4" x14ac:dyDescent="0.35">
      <c r="A1" s="1101" t="s">
        <v>943</v>
      </c>
      <c r="B1" s="1101"/>
      <c r="C1" s="1101"/>
    </row>
    <row r="2" spans="1:4" x14ac:dyDescent="0.35">
      <c r="A2" s="1101"/>
      <c r="B2" s="1101"/>
      <c r="C2" s="1101"/>
      <c r="D2" s="604" t="s">
        <v>1063</v>
      </c>
    </row>
    <row r="3" spans="1:4" ht="12" customHeight="1" x14ac:dyDescent="0.35">
      <c r="A3" s="1102" t="s">
        <v>313</v>
      </c>
      <c r="B3" s="1102" t="s">
        <v>209</v>
      </c>
      <c r="C3" s="1105" t="s">
        <v>314</v>
      </c>
      <c r="D3" s="1094" t="s">
        <v>942</v>
      </c>
    </row>
    <row r="4" spans="1:4" ht="7.5" customHeight="1" x14ac:dyDescent="0.35">
      <c r="A4" s="1103"/>
      <c r="B4" s="1103"/>
      <c r="C4" s="1106"/>
      <c r="D4" s="1095"/>
    </row>
    <row r="5" spans="1:4" ht="7.5" customHeight="1" x14ac:dyDescent="0.35">
      <c r="A5" s="1104"/>
      <c r="B5" s="1104"/>
      <c r="C5" s="1107"/>
      <c r="D5" s="1096"/>
    </row>
    <row r="6" spans="1:4" ht="11" customHeight="1" x14ac:dyDescent="0.35">
      <c r="A6" s="605">
        <v>1</v>
      </c>
      <c r="B6" s="605">
        <v>2</v>
      </c>
      <c r="C6" s="605">
        <v>3</v>
      </c>
      <c r="D6" s="606"/>
    </row>
    <row r="7" spans="1:4" x14ac:dyDescent="0.35">
      <c r="A7" s="620" t="s">
        <v>30</v>
      </c>
      <c r="B7" s="620" t="s">
        <v>315</v>
      </c>
      <c r="C7" s="620"/>
      <c r="D7" s="608">
        <v>91</v>
      </c>
    </row>
    <row r="8" spans="1:4" x14ac:dyDescent="0.35">
      <c r="A8" s="620"/>
      <c r="B8" s="620" t="s">
        <v>316</v>
      </c>
      <c r="C8" s="609" t="s">
        <v>77</v>
      </c>
      <c r="D8" s="609">
        <v>91</v>
      </c>
    </row>
    <row r="9" spans="1:4" x14ac:dyDescent="0.35">
      <c r="A9" s="620" t="s">
        <v>32</v>
      </c>
      <c r="B9" s="620" t="s">
        <v>317</v>
      </c>
      <c r="C9" s="609"/>
      <c r="D9" s="610"/>
    </row>
    <row r="10" spans="1:4" x14ac:dyDescent="0.35">
      <c r="A10" s="620" t="s">
        <v>318</v>
      </c>
      <c r="B10" s="618" t="s">
        <v>319</v>
      </c>
      <c r="C10" s="609" t="s">
        <v>320</v>
      </c>
      <c r="D10" s="611">
        <v>8477</v>
      </c>
    </row>
    <row r="11" spans="1:4" x14ac:dyDescent="0.35">
      <c r="A11" s="620" t="s">
        <v>321</v>
      </c>
      <c r="B11" s="620" t="s">
        <v>322</v>
      </c>
      <c r="C11" s="609"/>
      <c r="D11" s="610"/>
    </row>
    <row r="12" spans="1:4" x14ac:dyDescent="0.35">
      <c r="A12" s="620" t="s">
        <v>323</v>
      </c>
      <c r="B12" s="618" t="s">
        <v>324</v>
      </c>
      <c r="C12" s="609" t="s">
        <v>320</v>
      </c>
      <c r="D12" s="612"/>
    </row>
    <row r="13" spans="1:4" x14ac:dyDescent="0.35">
      <c r="A13" s="620" t="s">
        <v>325</v>
      </c>
      <c r="B13" s="620" t="s">
        <v>326</v>
      </c>
      <c r="C13" s="609"/>
      <c r="D13" s="609">
        <v>5</v>
      </c>
    </row>
    <row r="14" spans="1:4" x14ac:dyDescent="0.35">
      <c r="A14" s="1098" t="s">
        <v>327</v>
      </c>
      <c r="B14" s="1099" t="s">
        <v>328</v>
      </c>
      <c r="C14" s="1100"/>
      <c r="D14" s="609">
        <v>2.06</v>
      </c>
    </row>
    <row r="15" spans="1:4" ht="26.25" customHeight="1" x14ac:dyDescent="0.35">
      <c r="A15" s="1098"/>
      <c r="B15" s="1099"/>
      <c r="C15" s="1100"/>
      <c r="D15" s="609"/>
    </row>
    <row r="16" spans="1:4" ht="28.5" x14ac:dyDescent="0.35">
      <c r="A16" s="620" t="s">
        <v>329</v>
      </c>
      <c r="B16" s="618" t="s">
        <v>330</v>
      </c>
      <c r="C16" s="609" t="s">
        <v>320</v>
      </c>
      <c r="D16" s="613">
        <f>D10*D14</f>
        <v>17462.62</v>
      </c>
    </row>
    <row r="17" spans="1:4" x14ac:dyDescent="0.35">
      <c r="A17" s="620" t="s">
        <v>331</v>
      </c>
      <c r="B17" s="1099" t="s">
        <v>332</v>
      </c>
      <c r="C17" s="1100"/>
      <c r="D17" s="610"/>
    </row>
    <row r="18" spans="1:4" x14ac:dyDescent="0.35">
      <c r="A18" s="620"/>
      <c r="B18" s="1099"/>
      <c r="C18" s="1100"/>
      <c r="D18" s="610"/>
    </row>
    <row r="19" spans="1:4" x14ac:dyDescent="0.35">
      <c r="A19" s="620" t="s">
        <v>333</v>
      </c>
      <c r="B19" s="620" t="s">
        <v>1172</v>
      </c>
      <c r="C19" s="609" t="s">
        <v>335</v>
      </c>
      <c r="D19" s="609">
        <v>10</v>
      </c>
    </row>
    <row r="20" spans="1:4" x14ac:dyDescent="0.35">
      <c r="A20" s="620" t="s">
        <v>336</v>
      </c>
      <c r="B20" s="620" t="s">
        <v>337</v>
      </c>
      <c r="C20" s="609" t="s">
        <v>320</v>
      </c>
      <c r="D20" s="613">
        <f t="shared" ref="D20" si="0">D16*D19/100</f>
        <v>1746.2619999999997</v>
      </c>
    </row>
    <row r="21" spans="1:4" x14ac:dyDescent="0.35">
      <c r="A21" s="620" t="s">
        <v>338</v>
      </c>
      <c r="B21" s="620" t="s">
        <v>339</v>
      </c>
      <c r="C21" s="609"/>
      <c r="D21" s="610"/>
    </row>
    <row r="22" spans="1:4" x14ac:dyDescent="0.35">
      <c r="A22" s="620" t="s">
        <v>340</v>
      </c>
      <c r="B22" s="620" t="s">
        <v>334</v>
      </c>
      <c r="C22" s="609" t="s">
        <v>335</v>
      </c>
      <c r="D22" s="609">
        <v>70</v>
      </c>
    </row>
    <row r="23" spans="1:4" x14ac:dyDescent="0.35">
      <c r="A23" s="620" t="s">
        <v>341</v>
      </c>
      <c r="B23" s="620" t="s">
        <v>337</v>
      </c>
      <c r="C23" s="609" t="s">
        <v>320</v>
      </c>
      <c r="D23" s="613">
        <f t="shared" ref="D23" si="1">D16*D22/100</f>
        <v>12223.833999999999</v>
      </c>
    </row>
    <row r="24" spans="1:4" x14ac:dyDescent="0.35">
      <c r="A24" s="620" t="s">
        <v>342</v>
      </c>
      <c r="B24" s="618" t="s">
        <v>343</v>
      </c>
      <c r="C24" s="609"/>
      <c r="D24" s="610"/>
    </row>
    <row r="25" spans="1:4" x14ac:dyDescent="0.35">
      <c r="A25" s="620" t="s">
        <v>344</v>
      </c>
      <c r="B25" s="620" t="s">
        <v>1173</v>
      </c>
      <c r="C25" s="609" t="s">
        <v>335</v>
      </c>
      <c r="D25" s="609">
        <v>10</v>
      </c>
    </row>
    <row r="26" spans="1:4" x14ac:dyDescent="0.35">
      <c r="A26" s="620" t="s">
        <v>345</v>
      </c>
      <c r="B26" s="620" t="s">
        <v>337</v>
      </c>
      <c r="C26" s="609" t="s">
        <v>320</v>
      </c>
      <c r="D26" s="613">
        <f t="shared" ref="D26" si="2">D16*D25/100</f>
        <v>1746.2619999999997</v>
      </c>
    </row>
    <row r="27" spans="1:4" x14ac:dyDescent="0.35">
      <c r="A27" s="620"/>
      <c r="B27" s="620" t="s">
        <v>346</v>
      </c>
      <c r="C27" s="609"/>
      <c r="D27" s="610"/>
    </row>
    <row r="28" spans="1:4" x14ac:dyDescent="0.35">
      <c r="A28" s="620"/>
      <c r="B28" s="620" t="s">
        <v>334</v>
      </c>
      <c r="C28" s="609"/>
      <c r="D28" s="609">
        <v>3</v>
      </c>
    </row>
    <row r="29" spans="1:4" x14ac:dyDescent="0.35">
      <c r="A29" s="620"/>
      <c r="B29" s="620" t="s">
        <v>1174</v>
      </c>
      <c r="C29" s="609"/>
      <c r="D29" s="613">
        <f t="shared" ref="D29" si="3">D16*D28/100</f>
        <v>523.87860000000001</v>
      </c>
    </row>
    <row r="30" spans="1:4" x14ac:dyDescent="0.35">
      <c r="A30" s="620" t="s">
        <v>347</v>
      </c>
      <c r="B30" s="620" t="s">
        <v>348</v>
      </c>
      <c r="C30" s="609"/>
      <c r="D30" s="610"/>
    </row>
    <row r="31" spans="1:4" x14ac:dyDescent="0.35">
      <c r="A31" s="620" t="s">
        <v>349</v>
      </c>
      <c r="B31" s="620" t="s">
        <v>334</v>
      </c>
      <c r="C31" s="609" t="s">
        <v>335</v>
      </c>
      <c r="D31" s="609">
        <v>5</v>
      </c>
    </row>
    <row r="32" spans="1:4" x14ac:dyDescent="0.35">
      <c r="A32" s="620" t="s">
        <v>350</v>
      </c>
      <c r="B32" s="620" t="s">
        <v>337</v>
      </c>
      <c r="C32" s="609" t="s">
        <v>320</v>
      </c>
      <c r="D32" s="613">
        <f>D16*D31/100</f>
        <v>873.13099999999986</v>
      </c>
    </row>
    <row r="33" spans="1:4" x14ac:dyDescent="0.35">
      <c r="A33" s="620" t="s">
        <v>351</v>
      </c>
      <c r="B33" s="620" t="s">
        <v>352</v>
      </c>
      <c r="C33" s="609"/>
      <c r="D33" s="610"/>
    </row>
    <row r="34" spans="1:4" x14ac:dyDescent="0.35">
      <c r="A34" s="620" t="s">
        <v>353</v>
      </c>
      <c r="B34" s="620" t="s">
        <v>334</v>
      </c>
      <c r="C34" s="609" t="s">
        <v>335</v>
      </c>
      <c r="D34" s="609">
        <v>10</v>
      </c>
    </row>
    <row r="35" spans="1:4" x14ac:dyDescent="0.35">
      <c r="A35" s="620" t="s">
        <v>354</v>
      </c>
      <c r="B35" s="620" t="s">
        <v>337</v>
      </c>
      <c r="C35" s="609" t="s">
        <v>320</v>
      </c>
      <c r="D35" s="613">
        <f>D16*D34/100</f>
        <v>1746.2619999999997</v>
      </c>
    </row>
    <row r="36" spans="1:4" ht="28.5" x14ac:dyDescent="0.35">
      <c r="A36" s="620" t="s">
        <v>355</v>
      </c>
      <c r="B36" s="618" t="s">
        <v>356</v>
      </c>
      <c r="C36" s="609"/>
      <c r="D36" s="610"/>
    </row>
    <row r="37" spans="1:4" x14ac:dyDescent="0.35">
      <c r="A37" s="620" t="s">
        <v>357</v>
      </c>
      <c r="B37" s="620" t="s">
        <v>334</v>
      </c>
      <c r="C37" s="609" t="s">
        <v>335</v>
      </c>
      <c r="D37" s="609">
        <v>100</v>
      </c>
    </row>
    <row r="38" spans="1:4" x14ac:dyDescent="0.35">
      <c r="A38" s="763" t="s">
        <v>358</v>
      </c>
      <c r="B38" s="620" t="s">
        <v>337</v>
      </c>
      <c r="C38" s="609" t="s">
        <v>320</v>
      </c>
      <c r="D38" s="613">
        <f>(D16+D20+D23+D32+D35+D29+D26)*D37/100</f>
        <v>36322.249599999996</v>
      </c>
    </row>
    <row r="39" spans="1:4" x14ac:dyDescent="0.35">
      <c r="A39" s="620" t="s">
        <v>359</v>
      </c>
      <c r="B39" s="620" t="s">
        <v>360</v>
      </c>
      <c r="C39" s="609" t="s">
        <v>320</v>
      </c>
      <c r="D39" s="614">
        <f>D16+D20+D23+D26+D29+D32+D35+D38</f>
        <v>72644.499199999991</v>
      </c>
    </row>
    <row r="40" spans="1:4" x14ac:dyDescent="0.35">
      <c r="A40" s="1098" t="s">
        <v>361</v>
      </c>
      <c r="B40" s="1099" t="s">
        <v>362</v>
      </c>
      <c r="C40" s="1100"/>
      <c r="D40" s="610"/>
    </row>
    <row r="41" spans="1:4" x14ac:dyDescent="0.35">
      <c r="A41" s="1098"/>
      <c r="B41" s="1099"/>
      <c r="C41" s="1100"/>
      <c r="D41" s="610"/>
    </row>
    <row r="42" spans="1:4" x14ac:dyDescent="0.35">
      <c r="A42" s="620" t="s">
        <v>363</v>
      </c>
      <c r="B42" s="620" t="s">
        <v>992</v>
      </c>
      <c r="C42" s="609" t="s">
        <v>364</v>
      </c>
      <c r="D42" s="609">
        <v>430.57</v>
      </c>
    </row>
    <row r="43" spans="1:4" x14ac:dyDescent="0.35">
      <c r="A43" s="620" t="s">
        <v>365</v>
      </c>
      <c r="B43" s="620"/>
      <c r="C43" s="609" t="s">
        <v>364</v>
      </c>
      <c r="D43" s="609"/>
    </row>
    <row r="44" spans="1:4" x14ac:dyDescent="0.35">
      <c r="A44" s="615" t="s">
        <v>366</v>
      </c>
      <c r="B44" s="616" t="s">
        <v>367</v>
      </c>
      <c r="C44" s="609" t="s">
        <v>364</v>
      </c>
      <c r="D44" s="617">
        <f>D39*D8*12/1000+D42</f>
        <v>79758.3631264</v>
      </c>
    </row>
    <row r="45" spans="1:4" ht="28.5" x14ac:dyDescent="0.35">
      <c r="A45" s="615"/>
      <c r="B45" s="618" t="s">
        <v>368</v>
      </c>
      <c r="C45" s="609"/>
      <c r="D45" s="617">
        <f>D44/D8/12*1000</f>
        <v>73038.794071794866</v>
      </c>
    </row>
    <row r="46" spans="1:4" x14ac:dyDescent="0.35">
      <c r="A46" s="619"/>
      <c r="B46" s="607"/>
      <c r="C46" s="619"/>
      <c r="D46" s="610"/>
    </row>
    <row r="47" spans="1:4" x14ac:dyDescent="0.35">
      <c r="A47" s="606"/>
      <c r="B47" s="620" t="s">
        <v>865</v>
      </c>
      <c r="C47" s="608" t="s">
        <v>320</v>
      </c>
      <c r="D47" s="610"/>
    </row>
    <row r="48" spans="1:4" x14ac:dyDescent="0.35">
      <c r="A48" s="621"/>
      <c r="B48" s="622" t="s">
        <v>369</v>
      </c>
      <c r="C48" s="605" t="s">
        <v>335</v>
      </c>
      <c r="D48" s="612"/>
    </row>
    <row r="49" spans="1:4" x14ac:dyDescent="0.35">
      <c r="B49" s="301"/>
    </row>
    <row r="50" spans="1:4" x14ac:dyDescent="0.35">
      <c r="B50" s="604" t="s">
        <v>941</v>
      </c>
    </row>
    <row r="51" spans="1:4" ht="27" customHeight="1" x14ac:dyDescent="0.35">
      <c r="A51" s="1097" t="s">
        <v>940</v>
      </c>
      <c r="B51" s="1097"/>
      <c r="C51" s="1097"/>
      <c r="D51" s="1097"/>
    </row>
    <row r="52" spans="1:4" ht="15" customHeight="1" x14ac:dyDescent="0.35">
      <c r="A52" s="623"/>
      <c r="B52" s="623"/>
      <c r="C52" s="623"/>
      <c r="D52" s="623"/>
    </row>
    <row r="53" spans="1:4" ht="15" customHeight="1" x14ac:dyDescent="0.35">
      <c r="A53" s="623"/>
      <c r="B53" s="623"/>
      <c r="C53" s="623"/>
      <c r="D53" s="623"/>
    </row>
    <row r="54" spans="1:4" x14ac:dyDescent="0.35">
      <c r="A54" s="604" t="s">
        <v>1047</v>
      </c>
    </row>
  </sheetData>
  <mergeCells count="14">
    <mergeCell ref="A1:C2"/>
    <mergeCell ref="A3:A5"/>
    <mergeCell ref="B3:B5"/>
    <mergeCell ref="C3:C5"/>
    <mergeCell ref="A14:A15"/>
    <mergeCell ref="B14:B15"/>
    <mergeCell ref="C14:C15"/>
    <mergeCell ref="D3:D5"/>
    <mergeCell ref="A51:D51"/>
    <mergeCell ref="A40:A41"/>
    <mergeCell ref="B40:B41"/>
    <mergeCell ref="C40:C41"/>
    <mergeCell ref="B17:B18"/>
    <mergeCell ref="C17:C1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C30" sqref="A1:C30"/>
    </sheetView>
  </sheetViews>
  <sheetFormatPr defaultRowHeight="14.5" x14ac:dyDescent="0.35"/>
  <cols>
    <col min="1" max="1" width="5" customWidth="1"/>
    <col min="2" max="2" width="40.90625" customWidth="1"/>
    <col min="3" max="3" width="14.6328125" customWidth="1"/>
  </cols>
  <sheetData>
    <row r="1" spans="1:3" x14ac:dyDescent="0.35">
      <c r="B1" s="44"/>
      <c r="C1" t="s">
        <v>872</v>
      </c>
    </row>
    <row r="2" spans="1:3" x14ac:dyDescent="0.35">
      <c r="B2" s="44"/>
    </row>
    <row r="3" spans="1:3" x14ac:dyDescent="0.35">
      <c r="A3" s="292" t="s">
        <v>483</v>
      </c>
      <c r="B3" s="292"/>
      <c r="C3" s="292"/>
    </row>
    <row r="4" spans="1:3" x14ac:dyDescent="0.35">
      <c r="A4" s="128"/>
      <c r="B4" s="44"/>
    </row>
    <row r="5" spans="1:3" x14ac:dyDescent="0.35">
      <c r="A5" s="1110"/>
      <c r="B5" s="1111" t="s">
        <v>131</v>
      </c>
      <c r="C5" s="269"/>
    </row>
    <row r="6" spans="1:3" ht="37.5" x14ac:dyDescent="0.35">
      <c r="A6" s="1110"/>
      <c r="B6" s="1111"/>
      <c r="C6" s="129" t="s">
        <v>953</v>
      </c>
    </row>
    <row r="7" spans="1:3" x14ac:dyDescent="0.35">
      <c r="A7" s="130">
        <v>1</v>
      </c>
      <c r="B7" s="131">
        <v>2</v>
      </c>
      <c r="C7" s="132">
        <v>3</v>
      </c>
    </row>
    <row r="8" spans="1:3" x14ac:dyDescent="0.35">
      <c r="A8" s="133" t="s">
        <v>484</v>
      </c>
      <c r="B8" s="133" t="s">
        <v>485</v>
      </c>
      <c r="C8" s="268">
        <v>21257</v>
      </c>
    </row>
    <row r="9" spans="1:3" x14ac:dyDescent="0.35">
      <c r="A9" s="133"/>
      <c r="B9" s="133" t="s">
        <v>486</v>
      </c>
      <c r="C9" s="268"/>
    </row>
    <row r="10" spans="1:3" ht="25" x14ac:dyDescent="0.35">
      <c r="A10" s="133"/>
      <c r="B10" s="133" t="s">
        <v>487</v>
      </c>
      <c r="C10" s="271">
        <v>21257</v>
      </c>
    </row>
    <row r="11" spans="1:3" x14ac:dyDescent="0.35">
      <c r="A11" s="133"/>
      <c r="B11" s="133" t="s">
        <v>488</v>
      </c>
      <c r="C11" s="268"/>
    </row>
    <row r="12" spans="1:3" x14ac:dyDescent="0.35">
      <c r="A12" s="133" t="s">
        <v>489</v>
      </c>
      <c r="B12" s="133" t="s">
        <v>490</v>
      </c>
      <c r="C12" s="268"/>
    </row>
    <row r="13" spans="1:3" x14ac:dyDescent="0.35">
      <c r="A13" s="133"/>
      <c r="B13" s="133" t="s">
        <v>491</v>
      </c>
      <c r="C13" s="268"/>
    </row>
    <row r="14" spans="1:3" x14ac:dyDescent="0.35">
      <c r="A14" s="1112" t="s">
        <v>318</v>
      </c>
      <c r="B14" s="132" t="s">
        <v>492</v>
      </c>
      <c r="C14" s="1113">
        <v>13350</v>
      </c>
    </row>
    <row r="15" spans="1:3" x14ac:dyDescent="0.35">
      <c r="A15" s="1112"/>
      <c r="B15" s="132" t="s">
        <v>493</v>
      </c>
      <c r="C15" s="1114"/>
    </row>
    <row r="16" spans="1:3" x14ac:dyDescent="0.35">
      <c r="A16" s="132" t="s">
        <v>321</v>
      </c>
      <c r="B16" s="132" t="s">
        <v>494</v>
      </c>
      <c r="C16" s="268"/>
    </row>
    <row r="17" spans="1:3" x14ac:dyDescent="0.35">
      <c r="A17" s="133" t="s">
        <v>323</v>
      </c>
      <c r="B17" s="133" t="s">
        <v>495</v>
      </c>
      <c r="C17" s="268"/>
    </row>
    <row r="18" spans="1:3" x14ac:dyDescent="0.35">
      <c r="A18" s="133" t="s">
        <v>325</v>
      </c>
      <c r="B18" s="133" t="s">
        <v>496</v>
      </c>
      <c r="C18" s="268"/>
    </row>
    <row r="19" spans="1:3" x14ac:dyDescent="0.35">
      <c r="A19" s="1109" t="s">
        <v>327</v>
      </c>
      <c r="B19" s="133" t="s">
        <v>497</v>
      </c>
      <c r="C19" s="1108"/>
    </row>
    <row r="20" spans="1:3" x14ac:dyDescent="0.35">
      <c r="A20" s="1109"/>
      <c r="B20" s="133" t="s">
        <v>498</v>
      </c>
      <c r="C20" s="1108"/>
    </row>
    <row r="21" spans="1:3" x14ac:dyDescent="0.35">
      <c r="A21" s="133" t="s">
        <v>329</v>
      </c>
      <c r="B21" s="133" t="s">
        <v>499</v>
      </c>
      <c r="C21" s="268"/>
    </row>
    <row r="22" spans="1:3" x14ac:dyDescent="0.35">
      <c r="A22" s="1109" t="s">
        <v>331</v>
      </c>
      <c r="B22" s="133" t="s">
        <v>500</v>
      </c>
      <c r="C22" s="1108"/>
    </row>
    <row r="23" spans="1:3" x14ac:dyDescent="0.35">
      <c r="A23" s="1109"/>
      <c r="B23" s="133" t="s">
        <v>501</v>
      </c>
      <c r="C23" s="1108"/>
    </row>
    <row r="24" spans="1:3" x14ac:dyDescent="0.35">
      <c r="A24" s="133" t="s">
        <v>338</v>
      </c>
      <c r="B24" s="133" t="s">
        <v>502</v>
      </c>
      <c r="C24" s="268"/>
    </row>
    <row r="25" spans="1:3" x14ac:dyDescent="0.35">
      <c r="A25" s="133" t="s">
        <v>342</v>
      </c>
      <c r="B25" s="133" t="s">
        <v>503</v>
      </c>
      <c r="C25" s="268">
        <f>C14+C16+C17+C18+C19+C21+C22+C24</f>
        <v>13350</v>
      </c>
    </row>
    <row r="26" spans="1:3" x14ac:dyDescent="0.35">
      <c r="A26" s="133" t="s">
        <v>347</v>
      </c>
      <c r="B26" s="133" t="s">
        <v>504</v>
      </c>
      <c r="C26" s="268">
        <f>C8-C25</f>
        <v>7907</v>
      </c>
    </row>
    <row r="27" spans="1:3" x14ac:dyDescent="0.35">
      <c r="A27" s="128"/>
    </row>
    <row r="28" spans="1:3" x14ac:dyDescent="0.35">
      <c r="A28" t="s">
        <v>1345</v>
      </c>
      <c r="B28" s="134"/>
    </row>
  </sheetData>
  <mergeCells count="8">
    <mergeCell ref="C22:C23"/>
    <mergeCell ref="A19:A20"/>
    <mergeCell ref="A22:A23"/>
    <mergeCell ref="A5:A6"/>
    <mergeCell ref="B5:B6"/>
    <mergeCell ref="A14:A15"/>
    <mergeCell ref="C14:C15"/>
    <mergeCell ref="C19:C2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D46" sqref="A1:D46"/>
    </sheetView>
  </sheetViews>
  <sheetFormatPr defaultRowHeight="14.5" x14ac:dyDescent="0.35"/>
  <cols>
    <col min="1" max="1" width="6.1796875" customWidth="1"/>
    <col min="2" max="2" width="39.81640625" customWidth="1"/>
    <col min="3" max="3" width="11" customWidth="1"/>
  </cols>
  <sheetData>
    <row r="1" spans="1:3" ht="29" customHeight="1" x14ac:dyDescent="0.35">
      <c r="A1" s="1115" t="s">
        <v>505</v>
      </c>
      <c r="B1" s="1115"/>
      <c r="C1" t="s">
        <v>881</v>
      </c>
    </row>
    <row r="2" spans="1:3" ht="33.5" customHeight="1" x14ac:dyDescent="0.35">
      <c r="A2" s="1115" t="s">
        <v>824</v>
      </c>
      <c r="B2" s="1115"/>
    </row>
    <row r="3" spans="1:3" x14ac:dyDescent="0.35">
      <c r="A3" s="48"/>
      <c r="B3" s="135"/>
      <c r="C3" t="s">
        <v>364</v>
      </c>
    </row>
    <row r="4" spans="1:3" ht="24.75" customHeight="1" x14ac:dyDescent="0.35">
      <c r="A4" s="136" t="s">
        <v>208</v>
      </c>
      <c r="B4" s="247" t="s">
        <v>131</v>
      </c>
      <c r="C4" s="248" t="s">
        <v>939</v>
      </c>
    </row>
    <row r="5" spans="1:3" x14ac:dyDescent="0.35">
      <c r="A5" s="136"/>
      <c r="B5" s="247"/>
      <c r="C5" s="248"/>
    </row>
    <row r="6" spans="1:3" x14ac:dyDescent="0.35">
      <c r="A6" s="136">
        <v>1</v>
      </c>
      <c r="B6" s="136">
        <v>2</v>
      </c>
      <c r="C6" s="137"/>
    </row>
    <row r="7" spans="1:3" x14ac:dyDescent="0.35">
      <c r="A7" s="138" t="s">
        <v>30</v>
      </c>
      <c r="B7" s="136" t="s">
        <v>506</v>
      </c>
      <c r="C7" s="139">
        <f>C11+C10+C9</f>
        <v>21257</v>
      </c>
    </row>
    <row r="8" spans="1:3" x14ac:dyDescent="0.35">
      <c r="A8" s="138"/>
      <c r="B8" s="138" t="s">
        <v>507</v>
      </c>
      <c r="C8" s="140"/>
    </row>
    <row r="9" spans="1:3" x14ac:dyDescent="0.35">
      <c r="A9" s="138"/>
      <c r="B9" s="138" t="s">
        <v>1370</v>
      </c>
      <c r="C9" s="140">
        <v>4602</v>
      </c>
    </row>
    <row r="10" spans="1:3" x14ac:dyDescent="0.35">
      <c r="A10" s="138"/>
      <c r="B10" s="138" t="s">
        <v>1331</v>
      </c>
      <c r="C10" s="140">
        <v>10646</v>
      </c>
    </row>
    <row r="11" spans="1:3" x14ac:dyDescent="0.35">
      <c r="A11" s="138"/>
      <c r="B11" s="137" t="s">
        <v>1332</v>
      </c>
      <c r="C11" s="142">
        <v>6009</v>
      </c>
    </row>
    <row r="12" spans="1:3" x14ac:dyDescent="0.35">
      <c r="A12" s="138" t="s">
        <v>32</v>
      </c>
      <c r="B12" s="247" t="s">
        <v>508</v>
      </c>
      <c r="C12" s="139">
        <f>C15+C16+C17+C20+C18+C19+C21+C23+C22+C14</f>
        <v>875.34</v>
      </c>
    </row>
    <row r="13" spans="1:3" x14ac:dyDescent="0.35">
      <c r="A13" s="138"/>
      <c r="B13" s="137" t="s">
        <v>507</v>
      </c>
      <c r="C13" s="142"/>
    </row>
    <row r="14" spans="1:3" x14ac:dyDescent="0.35">
      <c r="A14" s="138"/>
      <c r="B14" s="137" t="s">
        <v>1347</v>
      </c>
      <c r="C14" s="142">
        <v>93.2</v>
      </c>
    </row>
    <row r="15" spans="1:3" x14ac:dyDescent="0.35">
      <c r="A15" s="138"/>
      <c r="B15" s="137" t="s">
        <v>510</v>
      </c>
      <c r="C15" s="142">
        <v>130</v>
      </c>
    </row>
    <row r="16" spans="1:3" x14ac:dyDescent="0.35">
      <c r="A16" s="138"/>
      <c r="B16" s="137" t="s">
        <v>511</v>
      </c>
      <c r="C16" s="142">
        <v>100</v>
      </c>
    </row>
    <row r="17" spans="1:3" x14ac:dyDescent="0.35">
      <c r="A17" s="138"/>
      <c r="B17" s="137" t="s">
        <v>938</v>
      </c>
      <c r="C17" s="142">
        <v>64.739999999999995</v>
      </c>
    </row>
    <row r="18" spans="1:3" x14ac:dyDescent="0.35">
      <c r="A18" s="138"/>
      <c r="B18" s="137" t="s">
        <v>509</v>
      </c>
      <c r="C18" s="142">
        <v>32</v>
      </c>
    </row>
    <row r="19" spans="1:3" ht="21" x14ac:dyDescent="0.35">
      <c r="A19" s="138"/>
      <c r="B19" s="137" t="s">
        <v>512</v>
      </c>
      <c r="C19" s="142">
        <v>8</v>
      </c>
    </row>
    <row r="20" spans="1:3" x14ac:dyDescent="0.35">
      <c r="A20" s="138"/>
      <c r="B20" s="138" t="s">
        <v>513</v>
      </c>
      <c r="C20" s="142">
        <v>13</v>
      </c>
    </row>
    <row r="21" spans="1:3" x14ac:dyDescent="0.35">
      <c r="A21" s="138"/>
      <c r="B21" s="138" t="s">
        <v>514</v>
      </c>
      <c r="C21" s="140"/>
    </row>
    <row r="22" spans="1:3" ht="21" x14ac:dyDescent="0.35">
      <c r="A22" s="138"/>
      <c r="B22" s="138" t="s">
        <v>1334</v>
      </c>
      <c r="C22" s="142">
        <v>146.4</v>
      </c>
    </row>
    <row r="23" spans="1:3" x14ac:dyDescent="0.35">
      <c r="A23" s="138"/>
      <c r="B23" s="138" t="s">
        <v>515</v>
      </c>
      <c r="C23" s="140">
        <v>288</v>
      </c>
    </row>
    <row r="24" spans="1:3" x14ac:dyDescent="0.35">
      <c r="A24" s="138" t="s">
        <v>34</v>
      </c>
      <c r="B24" s="136" t="s">
        <v>516</v>
      </c>
      <c r="C24" s="141">
        <f t="shared" ref="C24" si="0">C28+C29+C30+C26+C27+C25</f>
        <v>136</v>
      </c>
    </row>
    <row r="25" spans="1:3" x14ac:dyDescent="0.35">
      <c r="A25" s="138"/>
      <c r="B25" s="138" t="s">
        <v>517</v>
      </c>
      <c r="C25" s="143"/>
    </row>
    <row r="26" spans="1:3" x14ac:dyDescent="0.35">
      <c r="A26" s="138"/>
      <c r="B26" s="138" t="s">
        <v>518</v>
      </c>
      <c r="C26" s="143"/>
    </row>
    <row r="27" spans="1:3" x14ac:dyDescent="0.35">
      <c r="A27" s="138"/>
      <c r="B27" s="138" t="s">
        <v>1348</v>
      </c>
      <c r="C27" s="143">
        <v>50</v>
      </c>
    </row>
    <row r="28" spans="1:3" x14ac:dyDescent="0.35">
      <c r="A28" s="138"/>
      <c r="B28" s="138" t="s">
        <v>519</v>
      </c>
      <c r="C28" s="143"/>
    </row>
    <row r="29" spans="1:3" x14ac:dyDescent="0.35">
      <c r="A29" s="138"/>
      <c r="B29" s="138" t="s">
        <v>520</v>
      </c>
      <c r="C29" s="143">
        <v>56</v>
      </c>
    </row>
    <row r="30" spans="1:3" x14ac:dyDescent="0.35">
      <c r="A30" s="138"/>
      <c r="B30" s="138" t="s">
        <v>521</v>
      </c>
      <c r="C30" s="143">
        <v>30</v>
      </c>
    </row>
    <row r="31" spans="1:3" x14ac:dyDescent="0.35">
      <c r="A31" s="138" t="s">
        <v>227</v>
      </c>
      <c r="B31" s="136" t="s">
        <v>522</v>
      </c>
      <c r="C31" s="143"/>
    </row>
    <row r="32" spans="1:3" x14ac:dyDescent="0.35">
      <c r="A32" s="138" t="s">
        <v>300</v>
      </c>
      <c r="B32" s="136" t="s">
        <v>523</v>
      </c>
      <c r="C32" s="144">
        <f t="shared" ref="C32" si="1">C33+C34+C35+C36+C37+C38+C39</f>
        <v>1500</v>
      </c>
    </row>
    <row r="33" spans="1:3" x14ac:dyDescent="0.35">
      <c r="A33" s="138"/>
      <c r="B33" s="138" t="s">
        <v>524</v>
      </c>
      <c r="C33" s="145"/>
    </row>
    <row r="34" spans="1:3" x14ac:dyDescent="0.35">
      <c r="A34" s="138"/>
      <c r="B34" s="138" t="s">
        <v>525</v>
      </c>
      <c r="C34" s="140"/>
    </row>
    <row r="35" spans="1:3" x14ac:dyDescent="0.35">
      <c r="A35" s="138"/>
      <c r="B35" s="138" t="s">
        <v>526</v>
      </c>
      <c r="C35" s="140">
        <v>1500</v>
      </c>
    </row>
    <row r="36" spans="1:3" x14ac:dyDescent="0.35">
      <c r="A36" s="138"/>
      <c r="B36" s="138" t="s">
        <v>476</v>
      </c>
      <c r="C36" s="142"/>
    </row>
    <row r="37" spans="1:3" x14ac:dyDescent="0.35">
      <c r="A37" s="138"/>
      <c r="B37" s="138" t="s">
        <v>525</v>
      </c>
      <c r="C37" s="142"/>
    </row>
    <row r="38" spans="1:3" x14ac:dyDescent="0.35">
      <c r="A38" s="138"/>
      <c r="B38" s="138" t="s">
        <v>527</v>
      </c>
      <c r="C38" s="142"/>
    </row>
    <row r="39" spans="1:3" x14ac:dyDescent="0.35">
      <c r="A39" s="138"/>
      <c r="B39" s="138" t="s">
        <v>528</v>
      </c>
      <c r="C39" s="142"/>
    </row>
    <row r="40" spans="1:3" x14ac:dyDescent="0.35">
      <c r="A40" s="138" t="s">
        <v>529</v>
      </c>
      <c r="B40" s="138" t="s">
        <v>530</v>
      </c>
      <c r="C40" s="146">
        <f>C7+C12+C24+C32</f>
        <v>23768.34</v>
      </c>
    </row>
    <row r="41" spans="1:3" x14ac:dyDescent="0.35">
      <c r="A41" s="138" t="s">
        <v>36</v>
      </c>
      <c r="B41" s="138" t="s">
        <v>531</v>
      </c>
      <c r="C41" s="147">
        <f>C42</f>
        <v>4753.6680000000006</v>
      </c>
    </row>
    <row r="42" spans="1:3" x14ac:dyDescent="0.35">
      <c r="A42" s="138"/>
      <c r="B42" s="138" t="s">
        <v>532</v>
      </c>
      <c r="C42" s="743">
        <f>C40*20%</f>
        <v>4753.6680000000006</v>
      </c>
    </row>
    <row r="43" spans="1:3" x14ac:dyDescent="0.35">
      <c r="A43" s="138" t="s">
        <v>305</v>
      </c>
      <c r="B43" s="136" t="s">
        <v>533</v>
      </c>
      <c r="C43" s="148">
        <f>C40+C41</f>
        <v>28522.008000000002</v>
      </c>
    </row>
    <row r="44" spans="1:3" x14ac:dyDescent="0.35">
      <c r="B44" s="149"/>
    </row>
    <row r="45" spans="1:3" x14ac:dyDescent="0.35">
      <c r="A45" s="44" t="s">
        <v>1047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29" sqref="A1:D29"/>
    </sheetView>
  </sheetViews>
  <sheetFormatPr defaultRowHeight="14.5" x14ac:dyDescent="0.35"/>
  <cols>
    <col min="1" max="1" width="7" customWidth="1"/>
    <col min="2" max="2" width="24.453125" customWidth="1"/>
    <col min="3" max="3" width="10.1796875" customWidth="1"/>
    <col min="4" max="4" width="10.26953125" customWidth="1"/>
  </cols>
  <sheetData>
    <row r="1" spans="1:4" x14ac:dyDescent="0.35">
      <c r="A1" s="44"/>
      <c r="B1" s="44"/>
      <c r="C1" s="44"/>
      <c r="D1" s="44"/>
    </row>
    <row r="2" spans="1:4" ht="24" customHeight="1" x14ac:dyDescent="0.35">
      <c r="A2" s="1118" t="s">
        <v>880</v>
      </c>
      <c r="B2" s="1118"/>
      <c r="C2" s="1118"/>
      <c r="D2" s="44" t="s">
        <v>1372</v>
      </c>
    </row>
    <row r="3" spans="1:4" x14ac:dyDescent="0.35">
      <c r="A3" s="1119" t="s">
        <v>208</v>
      </c>
      <c r="B3" s="1120"/>
      <c r="C3" s="1121" t="s">
        <v>534</v>
      </c>
      <c r="D3" s="464" t="s">
        <v>931</v>
      </c>
    </row>
    <row r="4" spans="1:4" ht="15" customHeight="1" x14ac:dyDescent="0.35">
      <c r="A4" s="1119"/>
      <c r="B4" s="1120"/>
      <c r="C4" s="1122"/>
      <c r="D4" s="1116" t="s">
        <v>535</v>
      </c>
    </row>
    <row r="5" spans="1:4" x14ac:dyDescent="0.35">
      <c r="A5" s="465"/>
      <c r="B5" s="466"/>
      <c r="C5" s="467"/>
      <c r="D5" s="1117"/>
    </row>
    <row r="6" spans="1:4" x14ac:dyDescent="0.35">
      <c r="A6" s="150">
        <v>1</v>
      </c>
      <c r="B6" s="150">
        <v>2</v>
      </c>
      <c r="C6" s="151">
        <f>+B6+1</f>
        <v>3</v>
      </c>
      <c r="D6" s="150"/>
    </row>
    <row r="7" spans="1:4" ht="35.25" customHeight="1" x14ac:dyDescent="0.35">
      <c r="A7" s="150" t="s">
        <v>30</v>
      </c>
      <c r="B7" s="468" t="s">
        <v>536</v>
      </c>
      <c r="C7" s="150" t="s">
        <v>537</v>
      </c>
      <c r="D7" s="469">
        <v>154523.1</v>
      </c>
    </row>
    <row r="8" spans="1:4" ht="18" customHeight="1" x14ac:dyDescent="0.35">
      <c r="A8" s="150" t="s">
        <v>216</v>
      </c>
      <c r="B8" s="468" t="s">
        <v>168</v>
      </c>
      <c r="C8" s="150" t="s">
        <v>537</v>
      </c>
      <c r="D8" s="470"/>
    </row>
    <row r="9" spans="1:4" x14ac:dyDescent="0.35">
      <c r="A9" s="150" t="s">
        <v>217</v>
      </c>
      <c r="B9" s="468" t="s">
        <v>538</v>
      </c>
      <c r="C9" s="150"/>
      <c r="D9" s="471"/>
    </row>
    <row r="10" spans="1:4" x14ac:dyDescent="0.35">
      <c r="A10" s="150"/>
      <c r="B10" s="468" t="s">
        <v>539</v>
      </c>
      <c r="C10" s="150"/>
      <c r="D10" s="471"/>
    </row>
    <row r="11" spans="1:4" x14ac:dyDescent="0.35">
      <c r="A11" s="150"/>
      <c r="B11" s="468" t="s">
        <v>540</v>
      </c>
      <c r="C11" s="150"/>
      <c r="D11" s="470"/>
    </row>
    <row r="12" spans="1:4" x14ac:dyDescent="0.35">
      <c r="A12" s="150" t="s">
        <v>221</v>
      </c>
      <c r="B12" s="468" t="s">
        <v>171</v>
      </c>
      <c r="C12" s="150"/>
      <c r="D12" s="470"/>
    </row>
    <row r="13" spans="1:4" ht="36.75" customHeight="1" x14ac:dyDescent="0.35">
      <c r="A13" s="150" t="s">
        <v>32</v>
      </c>
      <c r="B13" s="468" t="s">
        <v>541</v>
      </c>
      <c r="C13" s="150" t="s">
        <v>537</v>
      </c>
      <c r="D13" s="470">
        <v>28522</v>
      </c>
    </row>
    <row r="14" spans="1:4" ht="18.75" customHeight="1" x14ac:dyDescent="0.35">
      <c r="A14" s="150" t="s">
        <v>34</v>
      </c>
      <c r="B14" s="468" t="s">
        <v>542</v>
      </c>
      <c r="C14" s="150" t="s">
        <v>335</v>
      </c>
      <c r="D14" s="472">
        <f>D13/D7</f>
        <v>0.18458081671931251</v>
      </c>
    </row>
    <row r="15" spans="1:4" ht="38.25" customHeight="1" x14ac:dyDescent="0.35">
      <c r="A15" s="473" t="s">
        <v>34</v>
      </c>
      <c r="B15" s="468" t="s">
        <v>543</v>
      </c>
      <c r="C15" s="150" t="s">
        <v>537</v>
      </c>
      <c r="D15" s="474">
        <f>D7+D13</f>
        <v>183045.1</v>
      </c>
    </row>
    <row r="16" spans="1:4" x14ac:dyDescent="0.35">
      <c r="A16" s="473" t="s">
        <v>363</v>
      </c>
      <c r="B16" s="468" t="s">
        <v>168</v>
      </c>
      <c r="C16" s="150"/>
      <c r="D16" s="471"/>
    </row>
    <row r="17" spans="1:4" x14ac:dyDescent="0.35">
      <c r="A17" s="473" t="s">
        <v>365</v>
      </c>
      <c r="B17" s="468" t="s">
        <v>538</v>
      </c>
      <c r="C17" s="150"/>
      <c r="D17" s="471"/>
    </row>
    <row r="18" spans="1:4" x14ac:dyDescent="0.35">
      <c r="A18" s="473"/>
      <c r="B18" s="468" t="s">
        <v>539</v>
      </c>
      <c r="C18" s="150"/>
      <c r="D18" s="471"/>
    </row>
    <row r="19" spans="1:4" x14ac:dyDescent="0.35">
      <c r="A19" s="473"/>
      <c r="B19" s="468" t="s">
        <v>540</v>
      </c>
      <c r="C19" s="150"/>
      <c r="D19" s="471"/>
    </row>
    <row r="20" spans="1:4" x14ac:dyDescent="0.35">
      <c r="A20" s="473" t="s">
        <v>366</v>
      </c>
      <c r="B20" s="468" t="s">
        <v>171</v>
      </c>
      <c r="C20" s="150"/>
      <c r="D20" s="471"/>
    </row>
    <row r="21" spans="1:4" ht="45.75" customHeight="1" x14ac:dyDescent="0.35">
      <c r="A21" s="475" t="s">
        <v>227</v>
      </c>
      <c r="B21" s="475" t="s">
        <v>544</v>
      </c>
      <c r="C21" s="476" t="s">
        <v>545</v>
      </c>
      <c r="D21" s="296">
        <v>15.3</v>
      </c>
    </row>
    <row r="22" spans="1:4" ht="27" customHeight="1" x14ac:dyDescent="0.35">
      <c r="A22" s="475" t="s">
        <v>229</v>
      </c>
      <c r="B22" s="475" t="s">
        <v>546</v>
      </c>
      <c r="C22" s="477"/>
      <c r="D22" s="478"/>
    </row>
    <row r="23" spans="1:4" ht="22" x14ac:dyDescent="0.35">
      <c r="A23" s="475"/>
      <c r="B23" s="475" t="s">
        <v>547</v>
      </c>
      <c r="C23" s="477"/>
      <c r="D23" s="478"/>
    </row>
    <row r="24" spans="1:4" ht="21" customHeight="1" x14ac:dyDescent="0.35">
      <c r="A24" s="475" t="s">
        <v>234</v>
      </c>
      <c r="B24" s="475" t="s">
        <v>548</v>
      </c>
      <c r="C24" s="477"/>
      <c r="D24" s="478"/>
    </row>
    <row r="25" spans="1:4" ht="22" x14ac:dyDescent="0.35">
      <c r="A25" s="155"/>
      <c r="B25" s="155" t="s">
        <v>549</v>
      </c>
      <c r="C25" s="157"/>
      <c r="D25" s="156"/>
    </row>
    <row r="26" spans="1:4" ht="15.75" customHeight="1" x14ac:dyDescent="0.35">
      <c r="A26" s="155" t="s">
        <v>236</v>
      </c>
      <c r="B26" s="155" t="s">
        <v>550</v>
      </c>
      <c r="C26" s="157"/>
      <c r="D26" s="156"/>
    </row>
    <row r="27" spans="1:4" ht="44.25" customHeight="1" x14ac:dyDescent="0.35">
      <c r="A27" s="155" t="s">
        <v>300</v>
      </c>
      <c r="B27" s="158" t="s">
        <v>551</v>
      </c>
      <c r="C27" s="138" t="s">
        <v>552</v>
      </c>
      <c r="D27" s="772">
        <f>D15*1000/(D21*12)</f>
        <v>996977.66884531581</v>
      </c>
    </row>
    <row r="29" spans="1:4" x14ac:dyDescent="0.35">
      <c r="A29" t="s">
        <v>1344</v>
      </c>
      <c r="C29" t="s">
        <v>1169</v>
      </c>
    </row>
  </sheetData>
  <mergeCells count="5">
    <mergeCell ref="D4:D5"/>
    <mergeCell ref="A2:C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H27" sqref="A1:H27"/>
    </sheetView>
  </sheetViews>
  <sheetFormatPr defaultRowHeight="14.5" x14ac:dyDescent="0.35"/>
  <cols>
    <col min="1" max="1" width="20.1796875" customWidth="1"/>
    <col min="2" max="2" width="9.54296875" customWidth="1"/>
    <col min="5" max="5" width="11.1796875" customWidth="1"/>
    <col min="6" max="6" width="9.90625" bestFit="1" customWidth="1"/>
    <col min="7" max="7" width="10.453125" customWidth="1"/>
  </cols>
  <sheetData>
    <row r="1" spans="1:7" ht="17.5" customHeight="1" x14ac:dyDescent="0.35">
      <c r="A1" s="878" t="s">
        <v>1375</v>
      </c>
      <c r="B1" s="878"/>
      <c r="C1" s="878"/>
      <c r="D1" s="878"/>
      <c r="E1" s="878"/>
      <c r="F1" s="878"/>
      <c r="G1" s="878"/>
    </row>
    <row r="2" spans="1:7" ht="12" customHeight="1" x14ac:dyDescent="0.35">
      <c r="A2" s="878"/>
      <c r="B2" s="878"/>
      <c r="C2" s="878"/>
      <c r="D2" s="878"/>
      <c r="E2" s="878"/>
      <c r="F2" s="878"/>
      <c r="G2" s="878"/>
    </row>
    <row r="3" spans="1:7" x14ac:dyDescent="0.35">
      <c r="A3" s="879" t="s">
        <v>1092</v>
      </c>
      <c r="B3" s="879"/>
      <c r="C3" s="879"/>
      <c r="D3" s="879"/>
      <c r="E3" s="879"/>
      <c r="F3" s="879"/>
      <c r="G3" s="879"/>
    </row>
    <row r="4" spans="1:7" ht="15" thickBot="1" x14ac:dyDescent="0.4">
      <c r="A4" s="497" t="s">
        <v>1093</v>
      </c>
      <c r="B4" s="498"/>
      <c r="C4" s="498"/>
      <c r="D4" s="499"/>
      <c r="E4" s="499"/>
    </row>
    <row r="5" spans="1:7" ht="20.5" customHeight="1" x14ac:dyDescent="0.35">
      <c r="A5" s="880" t="s">
        <v>1094</v>
      </c>
      <c r="B5" s="882" t="s">
        <v>1095</v>
      </c>
      <c r="C5" s="882" t="s">
        <v>44</v>
      </c>
      <c r="D5" s="884" t="s">
        <v>1096</v>
      </c>
      <c r="E5" s="886" t="s">
        <v>1097</v>
      </c>
      <c r="F5" s="899" t="s">
        <v>1098</v>
      </c>
      <c r="G5" s="888" t="s">
        <v>1099</v>
      </c>
    </row>
    <row r="6" spans="1:7" ht="14.5" customHeight="1" x14ac:dyDescent="0.35">
      <c r="A6" s="881"/>
      <c r="B6" s="883"/>
      <c r="C6" s="883"/>
      <c r="D6" s="885"/>
      <c r="E6" s="887"/>
      <c r="F6" s="900"/>
      <c r="G6" s="889"/>
    </row>
    <row r="7" spans="1:7" ht="16" customHeight="1" thickBot="1" x14ac:dyDescent="0.4">
      <c r="A7" s="881"/>
      <c r="B7" s="883"/>
      <c r="C7" s="883"/>
      <c r="D7" s="885"/>
      <c r="E7" s="887"/>
      <c r="F7" s="900"/>
      <c r="G7" s="890"/>
    </row>
    <row r="8" spans="1:7" ht="15" thickBot="1" x14ac:dyDescent="0.4">
      <c r="A8" s="500">
        <v>1</v>
      </c>
      <c r="B8" s="501">
        <v>2</v>
      </c>
      <c r="C8" s="501">
        <v>3</v>
      </c>
      <c r="D8" s="501">
        <v>4</v>
      </c>
      <c r="E8" s="501">
        <v>5</v>
      </c>
      <c r="F8" s="501">
        <v>6</v>
      </c>
      <c r="G8" s="502">
        <v>7</v>
      </c>
    </row>
    <row r="9" spans="1:7" x14ac:dyDescent="0.35">
      <c r="A9" s="492" t="s">
        <v>1100</v>
      </c>
      <c r="B9" s="891" t="s">
        <v>1101</v>
      </c>
      <c r="C9" s="893" t="s">
        <v>77</v>
      </c>
      <c r="D9" s="895" t="s">
        <v>1102</v>
      </c>
      <c r="E9" s="112">
        <v>2</v>
      </c>
      <c r="F9" s="897" t="s">
        <v>1103</v>
      </c>
      <c r="G9" s="503"/>
    </row>
    <row r="10" spans="1:7" ht="20" x14ac:dyDescent="0.35">
      <c r="A10" s="491" t="s">
        <v>1104</v>
      </c>
      <c r="B10" s="891"/>
      <c r="C10" s="893"/>
      <c r="D10" s="895"/>
      <c r="E10" s="41">
        <v>3</v>
      </c>
      <c r="F10" s="897"/>
      <c r="G10" s="504"/>
    </row>
    <row r="11" spans="1:7" ht="20" x14ac:dyDescent="0.35">
      <c r="A11" s="491" t="s">
        <v>1105</v>
      </c>
      <c r="B11" s="891"/>
      <c r="C11" s="893"/>
      <c r="D11" s="895"/>
      <c r="E11" s="41">
        <v>0.5</v>
      </c>
      <c r="F11" s="897"/>
      <c r="G11" s="504"/>
    </row>
    <row r="12" spans="1:7" ht="30" x14ac:dyDescent="0.35">
      <c r="A12" s="491" t="s">
        <v>1106</v>
      </c>
      <c r="B12" s="891"/>
      <c r="C12" s="893"/>
      <c r="D12" s="895"/>
      <c r="E12" s="41">
        <v>1</v>
      </c>
      <c r="F12" s="897"/>
      <c r="G12" s="504"/>
    </row>
    <row r="13" spans="1:7" ht="30" x14ac:dyDescent="0.35">
      <c r="A13" s="491" t="s">
        <v>1107</v>
      </c>
      <c r="B13" s="891"/>
      <c r="C13" s="893"/>
      <c r="D13" s="895"/>
      <c r="E13" s="41">
        <v>0.5</v>
      </c>
      <c r="F13" s="897"/>
      <c r="G13" s="504"/>
    </row>
    <row r="14" spans="1:7" ht="20" x14ac:dyDescent="0.35">
      <c r="A14" s="491" t="s">
        <v>1108</v>
      </c>
      <c r="B14" s="891"/>
      <c r="C14" s="893"/>
      <c r="D14" s="895"/>
      <c r="E14" s="41">
        <v>3</v>
      </c>
      <c r="F14" s="897"/>
      <c r="G14" s="504"/>
    </row>
    <row r="15" spans="1:7" ht="30" x14ac:dyDescent="0.35">
      <c r="A15" s="491" t="s">
        <v>1109</v>
      </c>
      <c r="B15" s="891"/>
      <c r="C15" s="893"/>
      <c r="D15" s="895"/>
      <c r="E15" s="41">
        <v>1</v>
      </c>
      <c r="F15" s="897"/>
      <c r="G15" s="504"/>
    </row>
    <row r="16" spans="1:7" x14ac:dyDescent="0.35">
      <c r="A16" s="491" t="s">
        <v>1110</v>
      </c>
      <c r="B16" s="891"/>
      <c r="C16" s="893"/>
      <c r="D16" s="895"/>
      <c r="E16" s="41">
        <v>1</v>
      </c>
      <c r="F16" s="897"/>
      <c r="G16" s="504"/>
    </row>
    <row r="17" spans="1:7" ht="30" x14ac:dyDescent="0.35">
      <c r="A17" s="491" t="s">
        <v>1111</v>
      </c>
      <c r="B17" s="892"/>
      <c r="C17" s="894"/>
      <c r="D17" s="896"/>
      <c r="E17" s="41">
        <v>1</v>
      </c>
      <c r="F17" s="898"/>
      <c r="G17" s="504"/>
    </row>
    <row r="18" spans="1:7" ht="32.5" x14ac:dyDescent="0.35">
      <c r="A18" s="491" t="s">
        <v>1112</v>
      </c>
      <c r="B18" s="505" t="s">
        <v>1113</v>
      </c>
      <c r="C18" s="506" t="s">
        <v>55</v>
      </c>
      <c r="D18" s="41">
        <v>3677</v>
      </c>
      <c r="E18" s="507">
        <f>D18*G18</f>
        <v>0.73540000000000005</v>
      </c>
      <c r="F18" s="508" t="s">
        <v>1114</v>
      </c>
      <c r="G18" s="504">
        <v>2.0000000000000001E-4</v>
      </c>
    </row>
    <row r="19" spans="1:7" ht="40" x14ac:dyDescent="0.35">
      <c r="A19" s="491" t="s">
        <v>1115</v>
      </c>
      <c r="B19" s="509" t="s">
        <v>1116</v>
      </c>
      <c r="C19" s="510" t="s">
        <v>987</v>
      </c>
      <c r="D19" s="41">
        <v>17</v>
      </c>
      <c r="E19" s="507">
        <f t="shared" ref="E19" si="0">D19*G19</f>
        <v>1.5469999999999999</v>
      </c>
      <c r="F19" s="510" t="s">
        <v>1117</v>
      </c>
      <c r="G19" s="504">
        <v>9.0999999999999998E-2</v>
      </c>
    </row>
    <row r="20" spans="1:7" ht="32.5" x14ac:dyDescent="0.35">
      <c r="A20" s="491" t="s">
        <v>1118</v>
      </c>
      <c r="B20" s="509" t="s">
        <v>1119</v>
      </c>
      <c r="C20" s="510" t="s">
        <v>1120</v>
      </c>
      <c r="D20" s="41">
        <v>1661.2</v>
      </c>
      <c r="E20" s="507">
        <v>5</v>
      </c>
      <c r="F20" s="511" t="s">
        <v>1121</v>
      </c>
      <c r="G20" s="511" t="s">
        <v>1122</v>
      </c>
    </row>
    <row r="21" spans="1:7" ht="100" x14ac:dyDescent="0.35">
      <c r="A21" s="491" t="s">
        <v>1123</v>
      </c>
      <c r="B21" s="509" t="s">
        <v>1124</v>
      </c>
      <c r="C21" s="510" t="s">
        <v>55</v>
      </c>
      <c r="D21" s="41">
        <v>89</v>
      </c>
      <c r="E21" s="507">
        <v>1</v>
      </c>
      <c r="F21" s="510" t="s">
        <v>1125</v>
      </c>
      <c r="G21" s="504" t="s">
        <v>79</v>
      </c>
    </row>
    <row r="22" spans="1:7" ht="61.5" customHeight="1" x14ac:dyDescent="0.35">
      <c r="A22" s="491" t="s">
        <v>1126</v>
      </c>
      <c r="B22" s="509" t="s">
        <v>1127</v>
      </c>
      <c r="C22" s="510" t="s">
        <v>55</v>
      </c>
      <c r="D22" s="41">
        <v>117</v>
      </c>
      <c r="E22" s="507">
        <v>0.5</v>
      </c>
      <c r="F22" s="510" t="s">
        <v>1128</v>
      </c>
      <c r="G22" s="504" t="s">
        <v>1129</v>
      </c>
    </row>
    <row r="23" spans="1:7" ht="12" customHeight="1" x14ac:dyDescent="0.35">
      <c r="A23" s="903" t="s">
        <v>1130</v>
      </c>
      <c r="B23" s="904" t="s">
        <v>1131</v>
      </c>
      <c r="C23" s="905"/>
      <c r="D23" s="905"/>
      <c r="E23" s="905"/>
      <c r="F23" s="512" t="s">
        <v>1132</v>
      </c>
      <c r="G23" s="504"/>
    </row>
    <row r="24" spans="1:7" ht="32.5" x14ac:dyDescent="0.35">
      <c r="A24" s="903"/>
      <c r="B24" s="513" t="s">
        <v>1133</v>
      </c>
      <c r="C24" s="514" t="s">
        <v>1120</v>
      </c>
      <c r="D24" s="41">
        <v>1661.2</v>
      </c>
      <c r="E24" s="906">
        <v>4</v>
      </c>
      <c r="F24" s="41"/>
      <c r="G24" s="504"/>
    </row>
    <row r="25" spans="1:7" ht="53.5" customHeight="1" x14ac:dyDescent="0.35">
      <c r="A25" s="903"/>
      <c r="B25" s="513" t="s">
        <v>1134</v>
      </c>
      <c r="C25" s="514" t="s">
        <v>77</v>
      </c>
      <c r="D25" s="108">
        <v>61</v>
      </c>
      <c r="E25" s="907"/>
      <c r="F25" s="41"/>
      <c r="G25" s="504"/>
    </row>
    <row r="26" spans="1:7" x14ac:dyDescent="0.35">
      <c r="A26" s="908" t="s">
        <v>1135</v>
      </c>
      <c r="B26" s="908"/>
      <c r="C26" s="908"/>
      <c r="D26" s="908"/>
      <c r="E26" s="507">
        <f>E9+E10+E11+E12+E13+E14+E15+E16+E17+E18+E19+E20+E21+E22+E24</f>
        <v>25.782400000000003</v>
      </c>
      <c r="F26" s="41"/>
      <c r="G26" s="41"/>
    </row>
    <row r="27" spans="1:7" ht="14.5" customHeight="1" x14ac:dyDescent="0.35">
      <c r="A27" s="909" t="s">
        <v>1136</v>
      </c>
      <c r="B27" s="909"/>
      <c r="C27" s="909"/>
      <c r="D27" s="909"/>
      <c r="E27" s="757">
        <f>E26*1.18</f>
        <v>30.423232000000002</v>
      </c>
      <c r="F27" s="756"/>
      <c r="G27" s="756"/>
    </row>
    <row r="29" spans="1:7" x14ac:dyDescent="0.35">
      <c r="A29" s="901"/>
      <c r="B29" s="901"/>
      <c r="C29" s="901"/>
      <c r="D29" s="901"/>
      <c r="E29" s="901"/>
      <c r="F29" s="901"/>
      <c r="G29" s="901"/>
    </row>
    <row r="30" spans="1:7" x14ac:dyDescent="0.35">
      <c r="A30" s="902"/>
      <c r="B30" s="902"/>
      <c r="C30" s="902"/>
      <c r="D30" s="902"/>
      <c r="E30" s="902"/>
      <c r="F30" s="902"/>
      <c r="G30" s="902"/>
    </row>
    <row r="31" spans="1:7" x14ac:dyDescent="0.35">
      <c r="A31" s="902"/>
      <c r="B31" s="902"/>
      <c r="C31" s="902"/>
      <c r="D31" s="902"/>
      <c r="E31" s="902"/>
      <c r="F31" s="902"/>
      <c r="G31" s="902"/>
    </row>
  </sheetData>
  <mergeCells count="20">
    <mergeCell ref="A29:G29"/>
    <mergeCell ref="A30:G31"/>
    <mergeCell ref="A23:A25"/>
    <mergeCell ref="B23:E23"/>
    <mergeCell ref="E24:E25"/>
    <mergeCell ref="A26:D26"/>
    <mergeCell ref="A27:D27"/>
    <mergeCell ref="B9:B17"/>
    <mergeCell ref="C9:C17"/>
    <mergeCell ref="D9:D17"/>
    <mergeCell ref="F9:F17"/>
    <mergeCell ref="F5:F7"/>
    <mergeCell ref="A1:G2"/>
    <mergeCell ref="A3:G3"/>
    <mergeCell ref="A5:A7"/>
    <mergeCell ref="B5:B7"/>
    <mergeCell ref="C5:C7"/>
    <mergeCell ref="D5:D7"/>
    <mergeCell ref="E5:E7"/>
    <mergeCell ref="G5:G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29" sqref="A1:D29"/>
    </sheetView>
  </sheetViews>
  <sheetFormatPr defaultRowHeight="14.5" x14ac:dyDescent="0.35"/>
  <cols>
    <col min="1" max="1" width="6.7265625" customWidth="1"/>
    <col min="2" max="2" width="27.81640625" customWidth="1"/>
    <col min="3" max="3" width="10.54296875" customWidth="1"/>
    <col min="4" max="4" width="10.7265625" customWidth="1"/>
  </cols>
  <sheetData>
    <row r="1" spans="1:4" ht="25.5" customHeight="1" x14ac:dyDescent="0.35">
      <c r="A1" s="159"/>
      <c r="B1" s="159"/>
      <c r="C1" s="678" t="s">
        <v>553</v>
      </c>
    </row>
    <row r="2" spans="1:4" ht="39" customHeight="1" x14ac:dyDescent="0.35">
      <c r="A2" s="1125" t="s">
        <v>1322</v>
      </c>
      <c r="B2" s="1125"/>
      <c r="C2" s="1125"/>
    </row>
    <row r="3" spans="1:4" ht="15" customHeight="1" x14ac:dyDescent="0.35">
      <c r="A3" s="1126" t="s">
        <v>208</v>
      </c>
      <c r="B3" s="1126"/>
      <c r="C3" s="1123" t="s">
        <v>534</v>
      </c>
      <c r="D3" s="1123" t="s">
        <v>953</v>
      </c>
    </row>
    <row r="4" spans="1:4" ht="25.5" customHeight="1" x14ac:dyDescent="0.35">
      <c r="A4" s="1127"/>
      <c r="B4" s="1127"/>
      <c r="C4" s="1124"/>
      <c r="D4" s="1124"/>
    </row>
    <row r="5" spans="1:4" x14ac:dyDescent="0.35">
      <c r="A5" s="152">
        <v>1</v>
      </c>
      <c r="B5" s="152">
        <v>2</v>
      </c>
      <c r="C5" s="152">
        <v>4</v>
      </c>
      <c r="D5" s="160"/>
    </row>
    <row r="6" spans="1:4" ht="24" customHeight="1" x14ac:dyDescent="0.35">
      <c r="A6" s="154" t="s">
        <v>30</v>
      </c>
      <c r="B6" s="153" t="s">
        <v>554</v>
      </c>
      <c r="C6" s="161" t="s">
        <v>555</v>
      </c>
      <c r="D6" s="162">
        <v>2019.85</v>
      </c>
    </row>
    <row r="7" spans="1:4" ht="33.75" customHeight="1" x14ac:dyDescent="0.35">
      <c r="A7" s="154" t="s">
        <v>556</v>
      </c>
      <c r="B7" s="153" t="s">
        <v>557</v>
      </c>
      <c r="C7" s="152" t="s">
        <v>558</v>
      </c>
      <c r="D7" s="160"/>
    </row>
    <row r="8" spans="1:4" x14ac:dyDescent="0.35">
      <c r="A8" s="154" t="s">
        <v>318</v>
      </c>
      <c r="B8" s="153" t="s">
        <v>168</v>
      </c>
      <c r="C8" s="152" t="s">
        <v>558</v>
      </c>
      <c r="D8" s="160"/>
    </row>
    <row r="9" spans="1:4" x14ac:dyDescent="0.35">
      <c r="A9" s="154"/>
      <c r="B9" s="153" t="s">
        <v>538</v>
      </c>
      <c r="C9" s="152" t="s">
        <v>558</v>
      </c>
      <c r="D9" s="160"/>
    </row>
    <row r="10" spans="1:4" x14ac:dyDescent="0.35">
      <c r="A10" s="154"/>
      <c r="B10" s="153" t="s">
        <v>559</v>
      </c>
      <c r="C10" s="152" t="s">
        <v>558</v>
      </c>
      <c r="D10" s="160"/>
    </row>
    <row r="11" spans="1:4" x14ac:dyDescent="0.35">
      <c r="A11" s="163" t="s">
        <v>321</v>
      </c>
      <c r="B11" s="164" t="s">
        <v>560</v>
      </c>
      <c r="C11" s="165" t="s">
        <v>558</v>
      </c>
      <c r="D11" s="166"/>
    </row>
    <row r="12" spans="1:4" x14ac:dyDescent="0.35">
      <c r="A12" s="163" t="s">
        <v>323</v>
      </c>
      <c r="B12" s="164" t="s">
        <v>171</v>
      </c>
      <c r="C12" s="165" t="s">
        <v>558</v>
      </c>
      <c r="D12" s="166"/>
    </row>
    <row r="13" spans="1:4" ht="17.25" customHeight="1" x14ac:dyDescent="0.35">
      <c r="A13" s="163" t="s">
        <v>34</v>
      </c>
      <c r="B13" s="164" t="s">
        <v>561</v>
      </c>
      <c r="C13" s="165" t="s">
        <v>335</v>
      </c>
      <c r="D13" s="167">
        <v>12.13</v>
      </c>
    </row>
    <row r="14" spans="1:4" x14ac:dyDescent="0.35">
      <c r="A14" s="163" t="s">
        <v>363</v>
      </c>
      <c r="B14" s="164" t="s">
        <v>210</v>
      </c>
      <c r="C14" s="165" t="s">
        <v>558</v>
      </c>
      <c r="D14" s="166">
        <v>11.22</v>
      </c>
    </row>
    <row r="15" spans="1:4" x14ac:dyDescent="0.35">
      <c r="A15" s="163"/>
      <c r="B15" s="164" t="s">
        <v>168</v>
      </c>
      <c r="C15" s="165" t="s">
        <v>558</v>
      </c>
      <c r="D15" s="166"/>
    </row>
    <row r="16" spans="1:4" x14ac:dyDescent="0.35">
      <c r="A16" s="163"/>
      <c r="B16" s="164" t="s">
        <v>559</v>
      </c>
      <c r="C16" s="165" t="s">
        <v>335</v>
      </c>
      <c r="D16" s="166"/>
    </row>
    <row r="17" spans="1:4" x14ac:dyDescent="0.35">
      <c r="A17" s="163" t="s">
        <v>365</v>
      </c>
      <c r="B17" s="164" t="s">
        <v>560</v>
      </c>
      <c r="C17" s="165" t="s">
        <v>335</v>
      </c>
      <c r="D17" s="166"/>
    </row>
    <row r="18" spans="1:4" x14ac:dyDescent="0.35">
      <c r="A18" s="163" t="s">
        <v>366</v>
      </c>
      <c r="B18" s="164" t="s">
        <v>171</v>
      </c>
      <c r="C18" s="165" t="s">
        <v>335</v>
      </c>
      <c r="D18" s="166"/>
    </row>
    <row r="19" spans="1:4" x14ac:dyDescent="0.35">
      <c r="A19" s="163" t="s">
        <v>227</v>
      </c>
      <c r="B19" s="164" t="s">
        <v>562</v>
      </c>
      <c r="C19" s="165" t="s">
        <v>558</v>
      </c>
      <c r="D19" s="167">
        <v>81.260000000000005</v>
      </c>
    </row>
    <row r="20" spans="1:4" x14ac:dyDescent="0.35">
      <c r="A20" s="163" t="s">
        <v>229</v>
      </c>
      <c r="B20" s="164" t="s">
        <v>168</v>
      </c>
      <c r="C20" s="165" t="s">
        <v>558</v>
      </c>
      <c r="D20" s="166"/>
    </row>
    <row r="21" spans="1:4" x14ac:dyDescent="0.35">
      <c r="A21" s="163"/>
      <c r="B21" s="164" t="s">
        <v>538</v>
      </c>
      <c r="C21" s="165" t="s">
        <v>558</v>
      </c>
      <c r="D21" s="166"/>
    </row>
    <row r="22" spans="1:4" x14ac:dyDescent="0.35">
      <c r="A22" s="163"/>
      <c r="B22" s="164" t="s">
        <v>559</v>
      </c>
      <c r="C22" s="165" t="s">
        <v>558</v>
      </c>
      <c r="D22" s="166"/>
    </row>
    <row r="23" spans="1:4" x14ac:dyDescent="0.35">
      <c r="A23" s="163" t="s">
        <v>234</v>
      </c>
      <c r="B23" s="164" t="s">
        <v>560</v>
      </c>
      <c r="C23" s="165" t="s">
        <v>558</v>
      </c>
      <c r="D23" s="166"/>
    </row>
    <row r="24" spans="1:4" x14ac:dyDescent="0.35">
      <c r="A24" s="163" t="s">
        <v>236</v>
      </c>
      <c r="B24" s="164" t="s">
        <v>171</v>
      </c>
      <c r="C24" s="165" t="s">
        <v>558</v>
      </c>
      <c r="D24" s="166"/>
    </row>
    <row r="25" spans="1:4" x14ac:dyDescent="0.35">
      <c r="A25" s="154" t="s">
        <v>300</v>
      </c>
      <c r="B25" s="153" t="s">
        <v>563</v>
      </c>
      <c r="C25" s="152" t="s">
        <v>364</v>
      </c>
      <c r="D25" s="720">
        <f>D6*D14</f>
        <v>22662.717000000001</v>
      </c>
    </row>
    <row r="26" spans="1:4" ht="32.5" x14ac:dyDescent="0.35">
      <c r="A26" s="154" t="s">
        <v>227</v>
      </c>
      <c r="B26" s="153" t="s">
        <v>564</v>
      </c>
      <c r="C26" s="152" t="s">
        <v>555</v>
      </c>
      <c r="D26" s="168">
        <f t="shared" ref="D26" si="0">D25/D19</f>
        <v>278.89142259414223</v>
      </c>
    </row>
    <row r="27" spans="1:4" x14ac:dyDescent="0.35">
      <c r="A27" s="86"/>
      <c r="B27" s="86"/>
      <c r="C27" s="86"/>
    </row>
    <row r="28" spans="1:4" x14ac:dyDescent="0.35">
      <c r="A28" t="s">
        <v>10</v>
      </c>
      <c r="B28" s="169"/>
      <c r="C28" s="721" t="s">
        <v>1169</v>
      </c>
    </row>
  </sheetData>
  <mergeCells count="5">
    <mergeCell ref="D3:D4"/>
    <mergeCell ref="A2:C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8" sqref="A1:D18"/>
    </sheetView>
  </sheetViews>
  <sheetFormatPr defaultRowHeight="14.5" x14ac:dyDescent="0.35"/>
  <cols>
    <col min="1" max="1" width="37.26953125" customWidth="1"/>
    <col min="2" max="2" width="18" customWidth="1"/>
    <col min="3" max="3" width="13.453125" customWidth="1"/>
    <col min="4" max="4" width="14" customWidth="1"/>
  </cols>
  <sheetData>
    <row r="1" spans="1:4" x14ac:dyDescent="0.35">
      <c r="A1" s="1128" t="s">
        <v>1389</v>
      </c>
      <c r="B1" s="1128"/>
      <c r="C1" s="44"/>
      <c r="D1" s="44"/>
    </row>
    <row r="2" spans="1:4" ht="15" customHeight="1" x14ac:dyDescent="0.35">
      <c r="A2" s="1129" t="s">
        <v>565</v>
      </c>
      <c r="B2" s="1131" t="s">
        <v>1180</v>
      </c>
      <c r="C2" s="1131" t="s">
        <v>1181</v>
      </c>
    </row>
    <row r="3" spans="1:4" ht="45" customHeight="1" x14ac:dyDescent="0.35">
      <c r="A3" s="1130"/>
      <c r="B3" s="1132"/>
      <c r="C3" s="1132"/>
    </row>
    <row r="4" spans="1:4" x14ac:dyDescent="0.35">
      <c r="A4" s="170" t="s">
        <v>210</v>
      </c>
      <c r="B4" s="363">
        <f>B5+B6+B7+B8+B9+B10</f>
        <v>3843.9999999999995</v>
      </c>
      <c r="C4" s="363">
        <f>C5+C6+C7+C8+C9+C10</f>
        <v>8702.1</v>
      </c>
    </row>
    <row r="5" spans="1:4" x14ac:dyDescent="0.35">
      <c r="A5" s="120" t="s">
        <v>566</v>
      </c>
      <c r="B5" s="171">
        <v>2025.5</v>
      </c>
      <c r="C5" s="171">
        <v>3311</v>
      </c>
    </row>
    <row r="6" spans="1:4" ht="28.5" customHeight="1" x14ac:dyDescent="0.35">
      <c r="A6" s="120" t="s">
        <v>567</v>
      </c>
      <c r="B6" s="171">
        <v>73.2</v>
      </c>
      <c r="C6" s="171">
        <v>490.5</v>
      </c>
    </row>
    <row r="7" spans="1:4" ht="28.5" customHeight="1" x14ac:dyDescent="0.35">
      <c r="A7" s="120" t="s">
        <v>1182</v>
      </c>
      <c r="B7" s="581">
        <v>1302.4000000000001</v>
      </c>
      <c r="C7" s="581">
        <f>1780.6+54+14</f>
        <v>1848.6</v>
      </c>
    </row>
    <row r="8" spans="1:4" x14ac:dyDescent="0.35">
      <c r="A8" s="120" t="s">
        <v>568</v>
      </c>
      <c r="B8" s="581">
        <v>75.5</v>
      </c>
      <c r="C8" s="581">
        <v>1050</v>
      </c>
    </row>
    <row r="9" spans="1:4" ht="26" x14ac:dyDescent="0.35">
      <c r="A9" s="172" t="s">
        <v>569</v>
      </c>
      <c r="B9" s="171">
        <v>17.2</v>
      </c>
      <c r="C9" s="171">
        <v>1032.0999999999999</v>
      </c>
    </row>
    <row r="10" spans="1:4" ht="21.75" customHeight="1" x14ac:dyDescent="0.35">
      <c r="A10" s="120" t="s">
        <v>1179</v>
      </c>
      <c r="B10" s="330">
        <f>B11+B12</f>
        <v>350.2</v>
      </c>
      <c r="C10" s="330">
        <f>C11+C12++C13+C14</f>
        <v>969.9</v>
      </c>
    </row>
    <row r="11" spans="1:4" ht="21.75" customHeight="1" x14ac:dyDescent="0.35">
      <c r="A11" s="120" t="s">
        <v>1178</v>
      </c>
      <c r="B11" s="330">
        <v>337</v>
      </c>
      <c r="C11" s="330">
        <v>773</v>
      </c>
    </row>
    <row r="12" spans="1:4" x14ac:dyDescent="0.35">
      <c r="A12" s="671" t="s">
        <v>1253</v>
      </c>
      <c r="B12" s="330">
        <v>13.2</v>
      </c>
      <c r="C12" s="330">
        <v>51.4</v>
      </c>
    </row>
    <row r="13" spans="1:4" x14ac:dyDescent="0.35">
      <c r="A13" s="671" t="s">
        <v>1319</v>
      </c>
      <c r="B13" s="718">
        <v>0</v>
      </c>
      <c r="C13" s="742">
        <v>52.3</v>
      </c>
    </row>
    <row r="14" spans="1:4" ht="26.5" x14ac:dyDescent="0.35">
      <c r="A14" s="719" t="s">
        <v>1320</v>
      </c>
      <c r="B14" s="671">
        <v>0</v>
      </c>
      <c r="C14" s="742">
        <v>93.2</v>
      </c>
    </row>
    <row r="15" spans="1:4" x14ac:dyDescent="0.35">
      <c r="A15" s="29"/>
      <c r="B15" s="29"/>
      <c r="C15" s="29"/>
    </row>
    <row r="16" spans="1:4" x14ac:dyDescent="0.35">
      <c r="A16" t="s">
        <v>10</v>
      </c>
      <c r="B16" t="s">
        <v>1169</v>
      </c>
    </row>
  </sheetData>
  <mergeCells count="4">
    <mergeCell ref="A1:B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1"/>
  <sheetViews>
    <sheetView workbookViewId="0">
      <selection activeCell="A182" sqref="A1:G182"/>
    </sheetView>
  </sheetViews>
  <sheetFormatPr defaultRowHeight="14.5" x14ac:dyDescent="0.35"/>
  <cols>
    <col min="1" max="1" width="11.7265625" customWidth="1"/>
    <col min="2" max="2" width="22.26953125" customWidth="1"/>
    <col min="3" max="3" width="11.26953125" customWidth="1"/>
    <col min="6" max="6" width="11.453125" customWidth="1"/>
  </cols>
  <sheetData>
    <row r="2" spans="1:7" ht="30.75" customHeight="1" x14ac:dyDescent="0.35">
      <c r="A2" s="1133" t="s">
        <v>1269</v>
      </c>
      <c r="B2" s="1133"/>
      <c r="C2" s="1133"/>
      <c r="D2" s="1133"/>
      <c r="E2" s="1133"/>
      <c r="F2" s="1133"/>
      <c r="G2" s="173"/>
    </row>
    <row r="3" spans="1:7" x14ac:dyDescent="0.35">
      <c r="A3" s="329"/>
      <c r="B3" s="329"/>
      <c r="C3" s="329"/>
      <c r="D3" s="329"/>
      <c r="E3" s="329"/>
      <c r="F3" s="329"/>
      <c r="G3" s="174"/>
    </row>
    <row r="4" spans="1:7" x14ac:dyDescent="0.35">
      <c r="A4" s="1135" t="s">
        <v>823</v>
      </c>
      <c r="B4" s="1135"/>
      <c r="C4" s="1135"/>
      <c r="D4" s="1135"/>
      <c r="E4" s="1135"/>
      <c r="F4" s="1135"/>
      <c r="G4" s="175"/>
    </row>
    <row r="5" spans="1:7" ht="27.75" customHeight="1" x14ac:dyDescent="0.35">
      <c r="A5" s="1135"/>
      <c r="B5" s="1135"/>
      <c r="C5" s="1135"/>
      <c r="D5" s="1135"/>
      <c r="E5" s="1135"/>
      <c r="F5" s="1135"/>
      <c r="G5" s="176"/>
    </row>
    <row r="6" spans="1:7" x14ac:dyDescent="0.35">
      <c r="A6" s="1136" t="s">
        <v>570</v>
      </c>
      <c r="B6" s="1136"/>
      <c r="C6" s="1136"/>
      <c r="D6" s="1136"/>
      <c r="E6" s="1136"/>
      <c r="F6" s="1136"/>
      <c r="G6" s="176"/>
    </row>
    <row r="7" spans="1:7" x14ac:dyDescent="0.35">
      <c r="A7" s="174"/>
      <c r="B7" s="174"/>
      <c r="C7" s="174"/>
      <c r="D7" s="174"/>
      <c r="E7" s="174"/>
      <c r="F7" s="174"/>
      <c r="G7" s="174"/>
    </row>
    <row r="8" spans="1:7" ht="103.5" customHeight="1" x14ac:dyDescent="0.35">
      <c r="A8" s="177" t="s">
        <v>571</v>
      </c>
      <c r="B8" s="177" t="s">
        <v>572</v>
      </c>
      <c r="C8" s="177" t="s">
        <v>573</v>
      </c>
      <c r="D8" s="177" t="s">
        <v>574</v>
      </c>
      <c r="E8" s="177" t="s">
        <v>575</v>
      </c>
      <c r="F8" s="177" t="s">
        <v>576</v>
      </c>
      <c r="G8" s="178"/>
    </row>
    <row r="9" spans="1:7" x14ac:dyDescent="0.35">
      <c r="A9" s="179">
        <v>1</v>
      </c>
      <c r="B9" s="179">
        <v>2</v>
      </c>
      <c r="C9" s="179">
        <v>3</v>
      </c>
      <c r="D9" s="179">
        <v>4</v>
      </c>
      <c r="E9" s="179">
        <v>5</v>
      </c>
      <c r="F9" s="179">
        <v>6</v>
      </c>
      <c r="G9" s="178"/>
    </row>
    <row r="10" spans="1:7" x14ac:dyDescent="0.35">
      <c r="A10" s="179">
        <v>58640</v>
      </c>
      <c r="B10" s="179">
        <v>10</v>
      </c>
      <c r="C10" s="179">
        <f>A10/B10*3</f>
        <v>17592</v>
      </c>
      <c r="D10" s="179" t="s">
        <v>577</v>
      </c>
      <c r="E10" s="179">
        <v>28</v>
      </c>
      <c r="F10" s="179">
        <f>C10/1000*E10</f>
        <v>492.57599999999996</v>
      </c>
      <c r="G10" s="178"/>
    </row>
    <row r="11" spans="1:7" x14ac:dyDescent="0.35">
      <c r="A11" s="179">
        <v>21560</v>
      </c>
      <c r="B11" s="179">
        <v>10</v>
      </c>
      <c r="C11" s="179">
        <f>A11/B11*3</f>
        <v>6468</v>
      </c>
      <c r="D11" s="179">
        <v>50</v>
      </c>
      <c r="E11" s="179">
        <v>38</v>
      </c>
      <c r="F11" s="179">
        <f>C11/1000*E11</f>
        <v>245.78399999999999</v>
      </c>
      <c r="G11" s="178"/>
    </row>
    <row r="12" spans="1:7" x14ac:dyDescent="0.35">
      <c r="A12" s="179">
        <v>18500</v>
      </c>
      <c r="B12" s="179">
        <v>10</v>
      </c>
      <c r="C12" s="179">
        <f>A12/B12*3</f>
        <v>5550</v>
      </c>
      <c r="D12" s="179">
        <v>70</v>
      </c>
      <c r="E12" s="179">
        <v>48</v>
      </c>
      <c r="F12" s="179">
        <f>C12/1000*E12</f>
        <v>266.39999999999998</v>
      </c>
      <c r="G12" s="178"/>
    </row>
    <row r="13" spans="1:7" x14ac:dyDescent="0.35">
      <c r="A13" s="179"/>
      <c r="B13" s="179">
        <v>10</v>
      </c>
      <c r="C13" s="179">
        <f>A13/B13*3</f>
        <v>0</v>
      </c>
      <c r="D13" s="179" t="s">
        <v>578</v>
      </c>
      <c r="E13" s="179">
        <v>57</v>
      </c>
      <c r="F13" s="179">
        <f>C13/1000*E13</f>
        <v>0</v>
      </c>
      <c r="G13" s="178"/>
    </row>
    <row r="14" spans="1:7" x14ac:dyDescent="0.35">
      <c r="A14" s="179" t="s">
        <v>579</v>
      </c>
      <c r="B14" s="179"/>
      <c r="C14" s="179"/>
      <c r="D14" s="179"/>
      <c r="E14" s="179"/>
      <c r="F14" s="179">
        <f>F10+F11+F12+F13</f>
        <v>1004.7599999999999</v>
      </c>
      <c r="G14" s="178"/>
    </row>
    <row r="15" spans="1:7" x14ac:dyDescent="0.35">
      <c r="A15" s="1137" t="s">
        <v>580</v>
      </c>
      <c r="B15" s="1137"/>
      <c r="C15" s="1137"/>
      <c r="D15" s="1137"/>
      <c r="E15" s="1137"/>
      <c r="F15" s="1137"/>
      <c r="G15" s="1137"/>
    </row>
    <row r="16" spans="1:7" x14ac:dyDescent="0.35">
      <c r="A16" s="178"/>
      <c r="B16" s="178"/>
      <c r="C16" s="178"/>
      <c r="D16" s="178"/>
      <c r="E16" s="178"/>
      <c r="F16" s="178"/>
      <c r="G16" s="178"/>
    </row>
    <row r="17" spans="1:7" x14ac:dyDescent="0.35">
      <c r="A17" s="1137" t="s">
        <v>581</v>
      </c>
      <c r="B17" s="1137"/>
      <c r="C17" s="1137"/>
      <c r="D17" s="1137"/>
      <c r="E17" s="1137"/>
      <c r="F17" s="1137"/>
      <c r="G17" s="178"/>
    </row>
    <row r="18" spans="1:7" x14ac:dyDescent="0.35">
      <c r="A18" s="178"/>
      <c r="B18" s="178"/>
      <c r="C18" s="178"/>
      <c r="D18" s="178"/>
      <c r="E18" s="178"/>
      <c r="F18" s="178"/>
      <c r="G18" s="178"/>
    </row>
    <row r="19" spans="1:7" ht="50" x14ac:dyDescent="0.35">
      <c r="A19" s="1138" t="s">
        <v>582</v>
      </c>
      <c r="B19" s="1138"/>
      <c r="C19" s="179" t="s">
        <v>583</v>
      </c>
      <c r="D19" s="179" t="s">
        <v>584</v>
      </c>
      <c r="E19" s="179" t="s">
        <v>585</v>
      </c>
      <c r="F19" s="179" t="s">
        <v>586</v>
      </c>
      <c r="G19" s="179" t="s">
        <v>587</v>
      </c>
    </row>
    <row r="20" spans="1:7" x14ac:dyDescent="0.35">
      <c r="A20" s="1139">
        <v>1</v>
      </c>
      <c r="B20" s="1140"/>
      <c r="C20" s="179">
        <v>2</v>
      </c>
      <c r="D20" s="179">
        <v>3</v>
      </c>
      <c r="E20" s="179">
        <v>4</v>
      </c>
      <c r="F20" s="179">
        <v>5</v>
      </c>
      <c r="G20" s="179">
        <v>6</v>
      </c>
    </row>
    <row r="21" spans="1:7" x14ac:dyDescent="0.35">
      <c r="A21" s="1141" t="s">
        <v>588</v>
      </c>
      <c r="B21" s="1141"/>
      <c r="C21" s="179">
        <v>80</v>
      </c>
      <c r="D21" s="179">
        <f>F14</f>
        <v>1004.7599999999999</v>
      </c>
      <c r="E21" s="179">
        <f>D21/100*C21</f>
        <v>803.80799999999999</v>
      </c>
      <c r="F21" s="179">
        <v>161.80499999999998</v>
      </c>
      <c r="G21" s="179">
        <f>E21*F21</f>
        <v>130060.15343999998</v>
      </c>
    </row>
    <row r="22" spans="1:7" x14ac:dyDescent="0.35">
      <c r="A22" s="1141" t="s">
        <v>589</v>
      </c>
      <c r="B22" s="1141"/>
      <c r="C22" s="179">
        <v>20</v>
      </c>
      <c r="D22" s="179">
        <f>F14</f>
        <v>1004.7599999999999</v>
      </c>
      <c r="E22" s="179">
        <f>D22/100*C22</f>
        <v>200.952</v>
      </c>
      <c r="F22" s="179">
        <v>142.94499999999999</v>
      </c>
      <c r="G22" s="179">
        <f t="shared" ref="G22:G27" si="0">E22*F22</f>
        <v>28725.083639999997</v>
      </c>
    </row>
    <row r="23" spans="1:7" x14ac:dyDescent="0.35">
      <c r="A23" s="1141" t="s">
        <v>590</v>
      </c>
      <c r="B23" s="1141"/>
      <c r="C23" s="179">
        <v>20</v>
      </c>
      <c r="D23" s="179">
        <f>F14</f>
        <v>1004.7599999999999</v>
      </c>
      <c r="E23" s="179">
        <f>D23/100*C23</f>
        <v>200.952</v>
      </c>
      <c r="F23" s="179">
        <v>376.63649999999996</v>
      </c>
      <c r="G23" s="179">
        <f t="shared" si="0"/>
        <v>75685.85794799999</v>
      </c>
    </row>
    <row r="24" spans="1:7" x14ac:dyDescent="0.35">
      <c r="A24" s="1142" t="s">
        <v>591</v>
      </c>
      <c r="B24" s="1143"/>
      <c r="C24" s="179">
        <v>40</v>
      </c>
      <c r="D24" s="179">
        <f>F14</f>
        <v>1004.7599999999999</v>
      </c>
      <c r="E24" s="179">
        <f>E22</f>
        <v>200.952</v>
      </c>
      <c r="F24" s="179">
        <v>117.3</v>
      </c>
      <c r="G24" s="179">
        <f t="shared" si="0"/>
        <v>23571.669599999997</v>
      </c>
    </row>
    <row r="25" spans="1:7" x14ac:dyDescent="0.35">
      <c r="A25" s="1141" t="s">
        <v>592</v>
      </c>
      <c r="B25" s="1141"/>
      <c r="C25" s="179">
        <v>15</v>
      </c>
      <c r="D25" s="179">
        <f>F14</f>
        <v>1004.7599999999999</v>
      </c>
      <c r="E25" s="179">
        <f>D25/100*C25</f>
        <v>150.714</v>
      </c>
      <c r="F25" s="179">
        <v>124.19999999999999</v>
      </c>
      <c r="G25" s="179">
        <f t="shared" si="0"/>
        <v>18718.678799999998</v>
      </c>
    </row>
    <row r="26" spans="1:7" x14ac:dyDescent="0.35">
      <c r="A26" s="1141" t="s">
        <v>593</v>
      </c>
      <c r="B26" s="1141"/>
      <c r="C26" s="179">
        <v>0.3</v>
      </c>
      <c r="D26" s="179">
        <f>F14</f>
        <v>1004.7599999999999</v>
      </c>
      <c r="E26" s="179">
        <f>D26/100*C26</f>
        <v>3.0142799999999998</v>
      </c>
      <c r="F26" s="179">
        <v>56.11999999999999</v>
      </c>
      <c r="G26" s="179">
        <f t="shared" si="0"/>
        <v>169.16139359999997</v>
      </c>
    </row>
    <row r="27" spans="1:7" ht="26.25" customHeight="1" x14ac:dyDescent="0.35">
      <c r="A27" s="1141" t="s">
        <v>594</v>
      </c>
      <c r="B27" s="1141"/>
      <c r="C27" s="1139" t="s">
        <v>595</v>
      </c>
      <c r="D27" s="1140"/>
      <c r="E27" s="179">
        <f>A11/10/50/2</f>
        <v>21.56</v>
      </c>
      <c r="F27" s="179">
        <v>5601.42</v>
      </c>
      <c r="G27" s="179">
        <f t="shared" si="0"/>
        <v>120766.6152</v>
      </c>
    </row>
    <row r="28" spans="1:7" x14ac:dyDescent="0.35">
      <c r="A28" s="1142" t="s">
        <v>596</v>
      </c>
      <c r="B28" s="1143"/>
      <c r="C28" s="179"/>
      <c r="D28" s="179"/>
      <c r="E28" s="179">
        <f>E27</f>
        <v>21.56</v>
      </c>
      <c r="F28" s="179">
        <v>4215.8999999999996</v>
      </c>
      <c r="G28" s="179">
        <f>E28*F28</f>
        <v>90894.803999999989</v>
      </c>
    </row>
    <row r="29" spans="1:7" x14ac:dyDescent="0.35">
      <c r="A29" s="1138" t="s">
        <v>597</v>
      </c>
      <c r="B29" s="1138"/>
      <c r="C29" s="179"/>
      <c r="D29" s="179"/>
      <c r="E29" s="179"/>
      <c r="F29" s="179"/>
      <c r="G29" s="179">
        <f>G21+G22+G25+G26+G27+G28+G23+G24</f>
        <v>488592.02402160002</v>
      </c>
    </row>
    <row r="30" spans="1:7" x14ac:dyDescent="0.35">
      <c r="A30" s="1144"/>
      <c r="B30" s="1144"/>
      <c r="C30" s="181"/>
      <c r="D30" s="181"/>
      <c r="E30" s="181"/>
      <c r="F30" s="181"/>
      <c r="G30" s="181"/>
    </row>
    <row r="31" spans="1:7" x14ac:dyDescent="0.35">
      <c r="A31" s="181"/>
      <c r="B31" s="181"/>
      <c r="C31" s="181"/>
      <c r="D31" s="181"/>
      <c r="E31" s="181"/>
      <c r="F31" s="181"/>
      <c r="G31" s="181"/>
    </row>
    <row r="32" spans="1:7" ht="30.75" customHeight="1" x14ac:dyDescent="0.35">
      <c r="A32" s="1145" t="s">
        <v>598</v>
      </c>
      <c r="B32" s="1145"/>
      <c r="C32" s="1145"/>
      <c r="D32" s="1145"/>
      <c r="E32" s="1145"/>
      <c r="F32" s="1145"/>
      <c r="G32" s="1145"/>
    </row>
    <row r="33" spans="1:7" x14ac:dyDescent="0.35">
      <c r="A33" s="178"/>
      <c r="B33" s="178"/>
      <c r="C33" s="178"/>
      <c r="D33" s="178"/>
      <c r="E33" s="178"/>
      <c r="F33" s="178"/>
      <c r="G33" s="178"/>
    </row>
    <row r="34" spans="1:7" x14ac:dyDescent="0.35">
      <c r="A34" s="1137" t="s">
        <v>599</v>
      </c>
      <c r="B34" s="1137"/>
      <c r="C34" s="1137"/>
      <c r="D34" s="1137"/>
      <c r="E34" s="1137"/>
      <c r="F34" s="1137"/>
      <c r="G34" s="182"/>
    </row>
    <row r="35" spans="1:7" x14ac:dyDescent="0.35">
      <c r="A35" s="178"/>
      <c r="B35" s="178"/>
      <c r="C35" s="178"/>
      <c r="D35" s="178"/>
      <c r="E35" s="178"/>
      <c r="F35" s="178"/>
      <c r="G35" s="178"/>
    </row>
    <row r="36" spans="1:7" ht="70" x14ac:dyDescent="0.35">
      <c r="A36" s="179" t="s">
        <v>571</v>
      </c>
      <c r="B36" s="179" t="s">
        <v>572</v>
      </c>
      <c r="C36" s="179" t="s">
        <v>600</v>
      </c>
      <c r="D36" s="179" t="s">
        <v>574</v>
      </c>
      <c r="E36" s="179" t="s">
        <v>575</v>
      </c>
      <c r="F36" s="179" t="s">
        <v>576</v>
      </c>
      <c r="G36" s="178"/>
    </row>
    <row r="37" spans="1:7" x14ac:dyDescent="0.35">
      <c r="A37" s="179">
        <v>1</v>
      </c>
      <c r="B37" s="179">
        <v>2</v>
      </c>
      <c r="C37" s="179">
        <v>3</v>
      </c>
      <c r="D37" s="179">
        <v>4</v>
      </c>
      <c r="E37" s="177">
        <v>5</v>
      </c>
      <c r="F37" s="179">
        <v>6</v>
      </c>
      <c r="G37" s="178"/>
    </row>
    <row r="38" spans="1:7" x14ac:dyDescent="0.35">
      <c r="A38" s="179">
        <v>985</v>
      </c>
      <c r="B38" s="179">
        <v>15</v>
      </c>
      <c r="C38" s="179">
        <f>A38/B38*3</f>
        <v>197</v>
      </c>
      <c r="D38" s="179" t="s">
        <v>577</v>
      </c>
      <c r="E38" s="179">
        <v>19</v>
      </c>
      <c r="F38" s="179">
        <f>C38/1000*E38</f>
        <v>3.7430000000000003</v>
      </c>
      <c r="G38" s="178"/>
    </row>
    <row r="39" spans="1:7" x14ac:dyDescent="0.35">
      <c r="A39" s="179">
        <v>752</v>
      </c>
      <c r="B39" s="179">
        <v>15</v>
      </c>
      <c r="C39" s="179">
        <f>A39/B39*3</f>
        <v>150.4</v>
      </c>
      <c r="D39" s="179">
        <v>50</v>
      </c>
      <c r="E39" s="179">
        <v>28</v>
      </c>
      <c r="F39" s="179">
        <f>C39/1000*E39</f>
        <v>4.2111999999999998</v>
      </c>
      <c r="G39" s="178"/>
    </row>
    <row r="40" spans="1:7" x14ac:dyDescent="0.35">
      <c r="A40" s="179">
        <v>663</v>
      </c>
      <c r="B40" s="179">
        <v>15</v>
      </c>
      <c r="C40" s="179">
        <f>A40/B40*3</f>
        <v>132.60000000000002</v>
      </c>
      <c r="D40" s="179">
        <v>70</v>
      </c>
      <c r="E40" s="179">
        <v>38</v>
      </c>
      <c r="F40" s="179">
        <f>C40/1000*E40</f>
        <v>5.0388000000000011</v>
      </c>
      <c r="G40" s="178"/>
    </row>
    <row r="41" spans="1:7" x14ac:dyDescent="0.35">
      <c r="A41" s="179"/>
      <c r="B41" s="179">
        <v>15</v>
      </c>
      <c r="C41" s="179">
        <f>A41/B41*3</f>
        <v>0</v>
      </c>
      <c r="D41" s="179" t="s">
        <v>578</v>
      </c>
      <c r="E41" s="179">
        <v>48</v>
      </c>
      <c r="F41" s="179">
        <f>C41/1000*E41</f>
        <v>0</v>
      </c>
      <c r="G41" s="178"/>
    </row>
    <row r="42" spans="1:7" x14ac:dyDescent="0.35">
      <c r="A42" s="179"/>
      <c r="B42" s="179"/>
      <c r="C42" s="179"/>
      <c r="D42" s="179"/>
      <c r="E42" s="179"/>
      <c r="F42" s="179">
        <f>F38+F39+F40+F41</f>
        <v>12.993000000000002</v>
      </c>
      <c r="G42" s="178"/>
    </row>
    <row r="43" spans="1:7" x14ac:dyDescent="0.35">
      <c r="A43" s="1137" t="s">
        <v>580</v>
      </c>
      <c r="B43" s="1137"/>
      <c r="C43" s="1137"/>
      <c r="D43" s="1137"/>
      <c r="E43" s="1137"/>
      <c r="F43" s="1137"/>
      <c r="G43" s="1137"/>
    </row>
    <row r="44" spans="1:7" x14ac:dyDescent="0.35">
      <c r="A44" s="178"/>
      <c r="B44" s="178"/>
      <c r="C44" s="178"/>
      <c r="D44" s="178"/>
      <c r="E44" s="178"/>
      <c r="F44" s="178"/>
      <c r="G44" s="178"/>
    </row>
    <row r="45" spans="1:7" x14ac:dyDescent="0.35">
      <c r="A45" s="1137" t="s">
        <v>601</v>
      </c>
      <c r="B45" s="1137"/>
      <c r="C45" s="1137"/>
      <c r="D45" s="1137"/>
      <c r="E45" s="1137"/>
      <c r="F45" s="1137"/>
      <c r="G45" s="178"/>
    </row>
    <row r="46" spans="1:7" x14ac:dyDescent="0.35">
      <c r="A46" s="178"/>
      <c r="B46" s="178"/>
      <c r="C46" s="178"/>
      <c r="D46" s="178"/>
      <c r="E46" s="178"/>
      <c r="F46" s="178"/>
      <c r="G46" s="178"/>
    </row>
    <row r="47" spans="1:7" ht="50" x14ac:dyDescent="0.35">
      <c r="A47" s="1138" t="s">
        <v>582</v>
      </c>
      <c r="B47" s="1138"/>
      <c r="C47" s="179" t="s">
        <v>583</v>
      </c>
      <c r="D47" s="179" t="s">
        <v>602</v>
      </c>
      <c r="E47" s="179" t="s">
        <v>585</v>
      </c>
      <c r="F47" s="179" t="s">
        <v>586</v>
      </c>
      <c r="G47" s="179" t="s">
        <v>587</v>
      </c>
    </row>
    <row r="48" spans="1:7" x14ac:dyDescent="0.35">
      <c r="A48" s="1139">
        <v>1</v>
      </c>
      <c r="B48" s="1140"/>
      <c r="C48" s="179">
        <v>2</v>
      </c>
      <c r="D48" s="179">
        <v>3</v>
      </c>
      <c r="E48" s="179">
        <v>4</v>
      </c>
      <c r="F48" s="179">
        <v>5</v>
      </c>
      <c r="G48" s="179">
        <v>6</v>
      </c>
    </row>
    <row r="49" spans="1:7" x14ac:dyDescent="0.35">
      <c r="A49" s="1141" t="s">
        <v>588</v>
      </c>
      <c r="B49" s="1141"/>
      <c r="C49" s="179">
        <v>80</v>
      </c>
      <c r="D49" s="179">
        <f>F42</f>
        <v>12.993000000000002</v>
      </c>
      <c r="E49" s="179">
        <f>D49/100*C49</f>
        <v>10.394400000000001</v>
      </c>
      <c r="F49" s="179">
        <v>161.80499999999998</v>
      </c>
      <c r="G49" s="179">
        <f t="shared" ref="G49:G53" si="1">E49*F49</f>
        <v>1681.865892</v>
      </c>
    </row>
    <row r="50" spans="1:7" x14ac:dyDescent="0.35">
      <c r="A50" s="1141" t="s">
        <v>589</v>
      </c>
      <c r="B50" s="1141"/>
      <c r="C50" s="179">
        <v>20</v>
      </c>
      <c r="D50" s="179">
        <f>F42</f>
        <v>12.993000000000002</v>
      </c>
      <c r="E50" s="179">
        <f>D50/100*C50</f>
        <v>2.5986000000000002</v>
      </c>
      <c r="F50" s="179">
        <v>142.94499999999999</v>
      </c>
      <c r="G50" s="179">
        <f t="shared" si="1"/>
        <v>371.45687700000002</v>
      </c>
    </row>
    <row r="51" spans="1:7" x14ac:dyDescent="0.35">
      <c r="A51" s="1141" t="s">
        <v>590</v>
      </c>
      <c r="B51" s="1141"/>
      <c r="C51" s="179">
        <v>20</v>
      </c>
      <c r="D51" s="179">
        <f>F42</f>
        <v>12.993000000000002</v>
      </c>
      <c r="E51" s="179">
        <f>D51/100*C51</f>
        <v>2.5986000000000002</v>
      </c>
      <c r="F51" s="179">
        <v>158.125</v>
      </c>
      <c r="G51" s="179">
        <f t="shared" si="1"/>
        <v>410.90362500000003</v>
      </c>
    </row>
    <row r="52" spans="1:7" x14ac:dyDescent="0.35">
      <c r="A52" s="1142" t="s">
        <v>591</v>
      </c>
      <c r="B52" s="1143"/>
      <c r="C52" s="179">
        <v>20</v>
      </c>
      <c r="D52" s="179">
        <f>F42</f>
        <v>12.993000000000002</v>
      </c>
      <c r="E52" s="179">
        <f>E50</f>
        <v>2.5986000000000002</v>
      </c>
      <c r="F52" s="179">
        <v>161.80499999999998</v>
      </c>
      <c r="G52" s="179">
        <f t="shared" si="1"/>
        <v>420.46647300000001</v>
      </c>
    </row>
    <row r="53" spans="1:7" x14ac:dyDescent="0.35">
      <c r="A53" s="1141" t="s">
        <v>592</v>
      </c>
      <c r="B53" s="1141"/>
      <c r="C53" s="179">
        <v>15</v>
      </c>
      <c r="D53" s="179">
        <f>F42</f>
        <v>12.993000000000002</v>
      </c>
      <c r="E53" s="179">
        <f>D53/100*C53</f>
        <v>1.9489500000000002</v>
      </c>
      <c r="F53" s="179">
        <v>124.19999999999999</v>
      </c>
      <c r="G53" s="179">
        <f t="shared" si="1"/>
        <v>242.05959000000001</v>
      </c>
    </row>
    <row r="54" spans="1:7" x14ac:dyDescent="0.35">
      <c r="A54" s="1141" t="s">
        <v>593</v>
      </c>
      <c r="B54" s="1141"/>
      <c r="C54" s="179">
        <v>0.3</v>
      </c>
      <c r="D54" s="179">
        <f>F42</f>
        <v>12.993000000000002</v>
      </c>
      <c r="E54" s="179">
        <f>D54/100*C54</f>
        <v>3.8979000000000007E-2</v>
      </c>
      <c r="F54" s="179">
        <v>56.11999999999999</v>
      </c>
      <c r="G54" s="179">
        <f>E54*F54</f>
        <v>2.1875014799999999</v>
      </c>
    </row>
    <row r="55" spans="1:7" ht="26.25" customHeight="1" x14ac:dyDescent="0.35">
      <c r="A55" s="1149" t="s">
        <v>603</v>
      </c>
      <c r="B55" s="1149"/>
      <c r="C55" s="1146" t="s">
        <v>595</v>
      </c>
      <c r="D55" s="1147"/>
      <c r="E55" s="183">
        <f>A39/10/50/2</f>
        <v>0.752</v>
      </c>
      <c r="F55" s="183">
        <v>13799.999999999998</v>
      </c>
      <c r="G55" s="183">
        <f>E55*F55</f>
        <v>10377.599999999999</v>
      </c>
    </row>
    <row r="56" spans="1:7" x14ac:dyDescent="0.35">
      <c r="A56" s="1138" t="s">
        <v>597</v>
      </c>
      <c r="B56" s="1138"/>
      <c r="C56" s="179"/>
      <c r="D56" s="179"/>
      <c r="E56" s="179"/>
      <c r="F56" s="179"/>
      <c r="G56" s="179">
        <f>G49+G50+G53+G54+G55+G51+G52</f>
        <v>13506.53995848</v>
      </c>
    </row>
    <row r="57" spans="1:7" x14ac:dyDescent="0.35">
      <c r="A57" s="1144"/>
      <c r="B57" s="1144"/>
      <c r="C57" s="181"/>
      <c r="D57" s="181"/>
      <c r="E57" s="181"/>
      <c r="F57" s="181"/>
      <c r="G57" s="181"/>
    </row>
    <row r="58" spans="1:7" x14ac:dyDescent="0.35">
      <c r="A58" s="178"/>
      <c r="B58" s="178"/>
      <c r="C58" s="178"/>
      <c r="D58" s="178"/>
      <c r="E58" s="178"/>
      <c r="F58" s="178"/>
      <c r="G58" s="178"/>
    </row>
    <row r="59" spans="1:7" x14ac:dyDescent="0.35">
      <c r="A59" s="1148" t="s">
        <v>604</v>
      </c>
      <c r="B59" s="1148"/>
      <c r="C59" s="1148"/>
      <c r="D59" s="1148"/>
      <c r="E59" s="1148"/>
      <c r="F59" s="1148"/>
      <c r="G59" s="1148"/>
    </row>
    <row r="60" spans="1:7" x14ac:dyDescent="0.35">
      <c r="A60" s="178"/>
      <c r="B60" s="178"/>
      <c r="C60" s="178"/>
      <c r="D60" s="178"/>
      <c r="E60" s="178"/>
      <c r="F60" s="178"/>
      <c r="G60" s="178"/>
    </row>
    <row r="61" spans="1:7" x14ac:dyDescent="0.35">
      <c r="A61" s="1137" t="s">
        <v>605</v>
      </c>
      <c r="B61" s="1137"/>
      <c r="C61" s="1137"/>
      <c r="D61" s="1137"/>
      <c r="E61" s="1137"/>
      <c r="F61" s="1137"/>
      <c r="G61" s="178"/>
    </row>
    <row r="62" spans="1:7" x14ac:dyDescent="0.35">
      <c r="A62" s="178"/>
      <c r="B62" s="178"/>
      <c r="C62" s="178"/>
      <c r="D62" s="178"/>
      <c r="E62" s="178"/>
      <c r="F62" s="178"/>
      <c r="G62" s="178"/>
    </row>
    <row r="63" spans="1:7" ht="70" x14ac:dyDescent="0.35">
      <c r="A63" s="179" t="s">
        <v>571</v>
      </c>
      <c r="B63" s="179" t="s">
        <v>572</v>
      </c>
      <c r="C63" s="179" t="s">
        <v>600</v>
      </c>
      <c r="D63" s="179" t="s">
        <v>574</v>
      </c>
      <c r="E63" s="179" t="s">
        <v>575</v>
      </c>
      <c r="F63" s="177" t="s">
        <v>576</v>
      </c>
      <c r="G63" s="178"/>
    </row>
    <row r="64" spans="1:7" x14ac:dyDescent="0.35">
      <c r="A64" s="179">
        <v>1</v>
      </c>
      <c r="B64" s="179">
        <v>2</v>
      </c>
      <c r="C64" s="179">
        <v>3</v>
      </c>
      <c r="D64" s="179">
        <v>4</v>
      </c>
      <c r="E64" s="179">
        <v>5</v>
      </c>
      <c r="F64" s="179">
        <v>6</v>
      </c>
      <c r="G64" s="178"/>
    </row>
    <row r="65" spans="1:7" x14ac:dyDescent="0.35">
      <c r="A65" s="179">
        <v>9893</v>
      </c>
      <c r="B65" s="179">
        <v>20</v>
      </c>
      <c r="C65" s="179">
        <f>A65/B65</f>
        <v>494.65</v>
      </c>
      <c r="D65" s="179" t="s">
        <v>606</v>
      </c>
      <c r="E65" s="179">
        <v>72</v>
      </c>
      <c r="F65" s="179">
        <f>C65/1000*E65</f>
        <v>35.614799999999995</v>
      </c>
      <c r="G65" s="178"/>
    </row>
    <row r="66" spans="1:7" x14ac:dyDescent="0.35">
      <c r="A66" s="179">
        <v>8625</v>
      </c>
      <c r="B66" s="179">
        <v>20</v>
      </c>
      <c r="C66" s="179">
        <f>A66/B66</f>
        <v>431.25</v>
      </c>
      <c r="D66" s="179" t="s">
        <v>607</v>
      </c>
      <c r="E66" s="179">
        <v>82</v>
      </c>
      <c r="F66" s="179">
        <f>C66/1000*E66</f>
        <v>35.362500000000004</v>
      </c>
      <c r="G66" s="178"/>
    </row>
    <row r="67" spans="1:7" x14ac:dyDescent="0.35">
      <c r="A67" s="179">
        <v>18882</v>
      </c>
      <c r="B67" s="179">
        <v>20</v>
      </c>
      <c r="C67" s="179">
        <f>A67/B67</f>
        <v>944.1</v>
      </c>
      <c r="D67" s="179" t="s">
        <v>608</v>
      </c>
      <c r="E67" s="179">
        <v>111</v>
      </c>
      <c r="F67" s="179">
        <f>C67/1000*E67</f>
        <v>104.79510000000001</v>
      </c>
      <c r="G67" s="178"/>
    </row>
    <row r="68" spans="1:7" x14ac:dyDescent="0.35">
      <c r="A68" s="179"/>
      <c r="B68" s="179">
        <v>20</v>
      </c>
      <c r="C68" s="179">
        <f>A68/B68</f>
        <v>0</v>
      </c>
      <c r="D68" s="179">
        <v>240</v>
      </c>
      <c r="E68" s="179">
        <v>152</v>
      </c>
      <c r="F68" s="179">
        <f>C68/1000*E68</f>
        <v>0</v>
      </c>
      <c r="G68" s="178"/>
    </row>
    <row r="69" spans="1:7" x14ac:dyDescent="0.35">
      <c r="A69" s="179" t="s">
        <v>579</v>
      </c>
      <c r="B69" s="179"/>
      <c r="C69" s="179"/>
      <c r="D69" s="179"/>
      <c r="E69" s="179"/>
      <c r="F69" s="179">
        <f>+F65+F66+F67+F68</f>
        <v>175.7724</v>
      </c>
      <c r="G69" s="178"/>
    </row>
    <row r="70" spans="1:7" x14ac:dyDescent="0.35">
      <c r="A70" s="178"/>
      <c r="B70" s="178"/>
      <c r="C70" s="178"/>
      <c r="D70" s="178"/>
      <c r="E70" s="178"/>
      <c r="F70" s="178"/>
      <c r="G70" s="178"/>
    </row>
    <row r="71" spans="1:7" x14ac:dyDescent="0.35">
      <c r="A71" s="1137" t="s">
        <v>609</v>
      </c>
      <c r="B71" s="1137"/>
      <c r="C71" s="1137"/>
      <c r="D71" s="1137"/>
      <c r="E71" s="1137"/>
      <c r="F71" s="1137"/>
      <c r="G71" s="178"/>
    </row>
    <row r="72" spans="1:7" x14ac:dyDescent="0.35">
      <c r="A72" s="178"/>
      <c r="B72" s="178"/>
      <c r="C72" s="178"/>
      <c r="D72" s="178"/>
      <c r="E72" s="178"/>
      <c r="F72" s="178"/>
      <c r="G72" s="178"/>
    </row>
    <row r="73" spans="1:7" ht="50" x14ac:dyDescent="0.35">
      <c r="A73" s="1138" t="s">
        <v>582</v>
      </c>
      <c r="B73" s="1138"/>
      <c r="C73" s="179" t="s">
        <v>583</v>
      </c>
      <c r="D73" s="179" t="s">
        <v>610</v>
      </c>
      <c r="E73" s="179" t="s">
        <v>585</v>
      </c>
      <c r="F73" s="179" t="s">
        <v>586</v>
      </c>
      <c r="G73" s="179" t="s">
        <v>587</v>
      </c>
    </row>
    <row r="74" spans="1:7" x14ac:dyDescent="0.35">
      <c r="A74" s="1139">
        <v>1</v>
      </c>
      <c r="B74" s="1140"/>
      <c r="C74" s="179">
        <v>2</v>
      </c>
      <c r="D74" s="179">
        <v>3</v>
      </c>
      <c r="E74" s="179">
        <v>4</v>
      </c>
      <c r="F74" s="179">
        <v>5</v>
      </c>
      <c r="G74" s="179">
        <v>6</v>
      </c>
    </row>
    <row r="75" spans="1:7" x14ac:dyDescent="0.35">
      <c r="A75" s="1141" t="s">
        <v>611</v>
      </c>
      <c r="B75" s="1141"/>
      <c r="C75" s="179">
        <v>40</v>
      </c>
      <c r="D75" s="179">
        <f>F69</f>
        <v>175.7724</v>
      </c>
      <c r="E75" s="179">
        <f>D75/100*C75</f>
        <v>70.308959999999999</v>
      </c>
      <c r="F75" s="179">
        <v>621</v>
      </c>
      <c r="G75" s="179">
        <f t="shared" ref="G75:G81" si="2">E75*F75</f>
        <v>43661.864159999997</v>
      </c>
    </row>
    <row r="76" spans="1:7" x14ac:dyDescent="0.35">
      <c r="A76" s="1141" t="s">
        <v>592</v>
      </c>
      <c r="B76" s="1141"/>
      <c r="C76" s="179">
        <v>2</v>
      </c>
      <c r="D76" s="179">
        <f>F69</f>
        <v>175.7724</v>
      </c>
      <c r="E76" s="179">
        <f>D76/100*C76</f>
        <v>3.5154480000000001</v>
      </c>
      <c r="F76" s="179">
        <v>124.19999999999999</v>
      </c>
      <c r="G76" s="179">
        <f t="shared" si="2"/>
        <v>436.61864159999999</v>
      </c>
    </row>
    <row r="77" spans="1:7" x14ac:dyDescent="0.35">
      <c r="A77" s="1141" t="s">
        <v>612</v>
      </c>
      <c r="B77" s="1141"/>
      <c r="C77" s="179">
        <v>2</v>
      </c>
      <c r="D77" s="179">
        <f>F69</f>
        <v>175.7724</v>
      </c>
      <c r="E77" s="179">
        <f>D77/100*C77</f>
        <v>3.5154480000000001</v>
      </c>
      <c r="F77" s="179">
        <v>197.57</v>
      </c>
      <c r="G77" s="179">
        <f t="shared" si="2"/>
        <v>694.54706136000004</v>
      </c>
    </row>
    <row r="78" spans="1:7" x14ac:dyDescent="0.35">
      <c r="A78" s="1141" t="s">
        <v>613</v>
      </c>
      <c r="B78" s="1141"/>
      <c r="C78" s="179">
        <v>0.1</v>
      </c>
      <c r="D78" s="179">
        <f>F69</f>
        <v>175.7724</v>
      </c>
      <c r="E78" s="179">
        <f>D78/100*C78</f>
        <v>0.17577240000000002</v>
      </c>
      <c r="F78" s="179">
        <v>61.18</v>
      </c>
      <c r="G78" s="179">
        <f t="shared" si="2"/>
        <v>10.753755432000002</v>
      </c>
    </row>
    <row r="79" spans="1:7" x14ac:dyDescent="0.35">
      <c r="A79" s="1142" t="s">
        <v>614</v>
      </c>
      <c r="B79" s="1143"/>
      <c r="C79" s="179"/>
      <c r="D79" s="179">
        <v>593.9</v>
      </c>
      <c r="E79" s="179">
        <v>22</v>
      </c>
      <c r="F79" s="179">
        <v>917.24</v>
      </c>
      <c r="G79" s="179">
        <f t="shared" si="2"/>
        <v>20179.28</v>
      </c>
    </row>
    <row r="80" spans="1:7" x14ac:dyDescent="0.35">
      <c r="A80" s="1141" t="s">
        <v>615</v>
      </c>
      <c r="B80" s="1141"/>
      <c r="C80" s="179"/>
      <c r="D80" s="179">
        <v>250</v>
      </c>
      <c r="E80" s="179">
        <v>88</v>
      </c>
      <c r="F80" s="179">
        <v>74.75</v>
      </c>
      <c r="G80" s="179">
        <f t="shared" si="2"/>
        <v>6578</v>
      </c>
    </row>
    <row r="81" spans="1:7" x14ac:dyDescent="0.35">
      <c r="A81" s="1142" t="s">
        <v>616</v>
      </c>
      <c r="B81" s="1143"/>
      <c r="C81" s="179" t="s">
        <v>617</v>
      </c>
      <c r="D81" s="179">
        <v>50</v>
      </c>
      <c r="E81" s="179">
        <v>18</v>
      </c>
      <c r="F81" s="179">
        <v>3886.9999999999995</v>
      </c>
      <c r="G81" s="179">
        <f t="shared" si="2"/>
        <v>69965.999999999985</v>
      </c>
    </row>
    <row r="82" spans="1:7" x14ac:dyDescent="0.35">
      <c r="A82" s="1138" t="s">
        <v>618</v>
      </c>
      <c r="B82" s="1138"/>
      <c r="C82" s="179"/>
      <c r="D82" s="179"/>
      <c r="E82" s="179"/>
      <c r="F82" s="179"/>
      <c r="G82" s="179">
        <f>G75+G76+G77+G78+G80+G79+G81</f>
        <v>141527.06361839199</v>
      </c>
    </row>
    <row r="83" spans="1:7" x14ac:dyDescent="0.35">
      <c r="A83" s="1144"/>
      <c r="B83" s="1144"/>
      <c r="C83" s="181"/>
      <c r="D83" s="181"/>
      <c r="E83" s="181"/>
      <c r="F83" s="181"/>
      <c r="G83" s="181"/>
    </row>
    <row r="84" spans="1:7" x14ac:dyDescent="0.35">
      <c r="A84" s="178"/>
      <c r="B84" s="178"/>
      <c r="C84" s="178"/>
      <c r="D84" s="178"/>
      <c r="E84" s="178"/>
      <c r="F84" s="178"/>
      <c r="G84" s="178"/>
    </row>
    <row r="85" spans="1:7" x14ac:dyDescent="0.35">
      <c r="A85" s="1145" t="s">
        <v>619</v>
      </c>
      <c r="B85" s="1145"/>
      <c r="C85" s="1145"/>
      <c r="D85" s="1145"/>
      <c r="E85" s="1145"/>
      <c r="F85" s="1145"/>
      <c r="G85" s="1145"/>
    </row>
    <row r="86" spans="1:7" x14ac:dyDescent="0.35">
      <c r="A86" s="178"/>
      <c r="B86" s="178"/>
      <c r="C86" s="178"/>
      <c r="D86" s="178"/>
      <c r="E86" s="178"/>
      <c r="F86" s="178"/>
      <c r="G86" s="178"/>
    </row>
    <row r="87" spans="1:7" x14ac:dyDescent="0.35">
      <c r="A87" s="1137" t="s">
        <v>620</v>
      </c>
      <c r="B87" s="1137"/>
      <c r="C87" s="1137"/>
      <c r="D87" s="1137"/>
      <c r="E87" s="1137"/>
      <c r="F87" s="1137"/>
      <c r="G87" s="178"/>
    </row>
    <row r="88" spans="1:7" x14ac:dyDescent="0.35">
      <c r="A88" s="178"/>
      <c r="B88" s="178"/>
      <c r="C88" s="178"/>
      <c r="D88" s="178"/>
      <c r="E88" s="178"/>
      <c r="F88" s="178"/>
      <c r="G88" s="178"/>
    </row>
    <row r="89" spans="1:7" ht="50" x14ac:dyDescent="0.35">
      <c r="A89" s="1138" t="s">
        <v>131</v>
      </c>
      <c r="B89" s="1138"/>
      <c r="C89" s="179" t="s">
        <v>571</v>
      </c>
      <c r="D89" s="179" t="s">
        <v>572</v>
      </c>
      <c r="E89" s="179" t="s">
        <v>621</v>
      </c>
      <c r="F89" s="179" t="s">
        <v>622</v>
      </c>
    </row>
    <row r="90" spans="1:7" x14ac:dyDescent="0.35">
      <c r="A90" s="1139">
        <v>1</v>
      </c>
      <c r="B90" s="1140"/>
      <c r="C90" s="179">
        <v>2</v>
      </c>
      <c r="D90" s="179">
        <v>3</v>
      </c>
      <c r="E90" s="179">
        <v>4</v>
      </c>
      <c r="F90" s="179">
        <v>5</v>
      </c>
    </row>
    <row r="91" spans="1:7" x14ac:dyDescent="0.35">
      <c r="A91" s="1138" t="s">
        <v>623</v>
      </c>
      <c r="B91" s="1138"/>
      <c r="C91" s="179">
        <v>19</v>
      </c>
      <c r="D91" s="179">
        <v>3</v>
      </c>
      <c r="E91" s="179">
        <v>30</v>
      </c>
      <c r="F91" s="179">
        <f>C91/D91*E91</f>
        <v>190</v>
      </c>
    </row>
    <row r="92" spans="1:7" x14ac:dyDescent="0.35">
      <c r="A92" s="1138" t="s">
        <v>624</v>
      </c>
      <c r="B92" s="1138"/>
      <c r="C92" s="179"/>
      <c r="D92" s="179">
        <v>3</v>
      </c>
      <c r="E92" s="179">
        <v>38</v>
      </c>
      <c r="F92" s="179">
        <f>C92/D92*E92</f>
        <v>0</v>
      </c>
    </row>
    <row r="93" spans="1:7" x14ac:dyDescent="0.35">
      <c r="A93" s="1138" t="s">
        <v>625</v>
      </c>
      <c r="B93" s="1138"/>
      <c r="C93" s="179">
        <v>339</v>
      </c>
      <c r="D93" s="179">
        <v>3</v>
      </c>
      <c r="E93" s="179">
        <v>11</v>
      </c>
      <c r="F93" s="179">
        <f>C93/D93*E93</f>
        <v>1243</v>
      </c>
    </row>
    <row r="94" spans="1:7" x14ac:dyDescent="0.35">
      <c r="A94" s="1138" t="s">
        <v>626</v>
      </c>
      <c r="B94" s="1138"/>
      <c r="C94" s="179"/>
      <c r="D94" s="179">
        <v>3</v>
      </c>
      <c r="E94" s="179">
        <v>157</v>
      </c>
      <c r="F94" s="179">
        <f>C94/D94*E94</f>
        <v>0</v>
      </c>
    </row>
    <row r="95" spans="1:7" x14ac:dyDescent="0.35">
      <c r="A95" s="1138" t="s">
        <v>180</v>
      </c>
      <c r="B95" s="1138"/>
      <c r="C95" s="179"/>
      <c r="D95" s="179">
        <v>6</v>
      </c>
      <c r="E95" s="179">
        <v>10</v>
      </c>
      <c r="F95" s="179">
        <f>C95/D95*E95</f>
        <v>0</v>
      </c>
    </row>
    <row r="96" spans="1:7" x14ac:dyDescent="0.35">
      <c r="A96" s="1138"/>
      <c r="B96" s="1138"/>
      <c r="C96" s="179" t="s">
        <v>579</v>
      </c>
      <c r="D96" s="179"/>
      <c r="E96" s="179"/>
      <c r="F96" s="179">
        <f>F91+F92+F93+F94+F95</f>
        <v>1433</v>
      </c>
    </row>
    <row r="97" spans="1:7" x14ac:dyDescent="0.35">
      <c r="A97" s="178"/>
      <c r="B97" s="178"/>
      <c r="C97" s="178"/>
      <c r="D97" s="178"/>
      <c r="E97" s="178"/>
      <c r="F97" s="178"/>
      <c r="G97" s="178"/>
    </row>
    <row r="98" spans="1:7" x14ac:dyDescent="0.35">
      <c r="A98" s="1137" t="s">
        <v>627</v>
      </c>
      <c r="B98" s="1137"/>
      <c r="C98" s="1137"/>
      <c r="D98" s="1137"/>
      <c r="E98" s="1137"/>
      <c r="F98" s="1137"/>
      <c r="G98" s="178"/>
    </row>
    <row r="99" spans="1:7" x14ac:dyDescent="0.35">
      <c r="A99" s="178"/>
      <c r="B99" s="178"/>
      <c r="C99" s="178"/>
      <c r="D99" s="178"/>
      <c r="E99" s="178"/>
      <c r="F99" s="178"/>
      <c r="G99" s="178"/>
    </row>
    <row r="100" spans="1:7" ht="50" x14ac:dyDescent="0.35">
      <c r="A100" s="1138" t="s">
        <v>582</v>
      </c>
      <c r="B100" s="1138"/>
      <c r="C100" s="179" t="s">
        <v>583</v>
      </c>
      <c r="D100" s="179" t="s">
        <v>628</v>
      </c>
      <c r="E100" s="179" t="s">
        <v>585</v>
      </c>
      <c r="F100" s="179" t="s">
        <v>586</v>
      </c>
      <c r="G100" s="179" t="s">
        <v>587</v>
      </c>
    </row>
    <row r="101" spans="1:7" x14ac:dyDescent="0.35">
      <c r="A101" s="1139">
        <v>1</v>
      </c>
      <c r="B101" s="1140"/>
      <c r="C101" s="179">
        <v>2</v>
      </c>
      <c r="D101" s="179">
        <v>3</v>
      </c>
      <c r="E101" s="179">
        <v>4</v>
      </c>
      <c r="F101" s="179">
        <f>5</f>
        <v>5</v>
      </c>
      <c r="G101" s="179">
        <v>6</v>
      </c>
    </row>
    <row r="102" spans="1:7" x14ac:dyDescent="0.35">
      <c r="A102" s="1141" t="s">
        <v>629</v>
      </c>
      <c r="B102" s="1141"/>
      <c r="C102" s="179">
        <v>0.8</v>
      </c>
      <c r="D102" s="179">
        <f>F96</f>
        <v>1433</v>
      </c>
      <c r="E102" s="179">
        <f>D102/100*C102</f>
        <v>11.464</v>
      </c>
      <c r="F102" s="179">
        <v>124.19999999999999</v>
      </c>
      <c r="G102" s="179">
        <f>E102*F102</f>
        <v>1423.8288</v>
      </c>
    </row>
    <row r="103" spans="1:7" x14ac:dyDescent="0.35">
      <c r="A103" s="1141" t="s">
        <v>630</v>
      </c>
      <c r="B103" s="1141"/>
      <c r="C103" s="179">
        <v>0.3</v>
      </c>
      <c r="D103" s="179">
        <f>F96</f>
        <v>1433</v>
      </c>
      <c r="E103" s="179">
        <f>D103/100*C103</f>
        <v>4.2989999999999995</v>
      </c>
      <c r="F103" s="184">
        <v>95.081999999999994</v>
      </c>
      <c r="G103" s="179">
        <f t="shared" ref="G103:G115" si="3">E103*F103</f>
        <v>408.75751799999995</v>
      </c>
    </row>
    <row r="104" spans="1:7" x14ac:dyDescent="0.35">
      <c r="A104" s="1141" t="s">
        <v>631</v>
      </c>
      <c r="B104" s="1141"/>
      <c r="C104" s="179">
        <v>9.8000000000000007</v>
      </c>
      <c r="D104" s="179">
        <f>F96</f>
        <v>1433</v>
      </c>
      <c r="E104" s="179">
        <f>D104/100*C104</f>
        <v>140.434</v>
      </c>
      <c r="F104" s="179">
        <v>191.82</v>
      </c>
      <c r="G104" s="179">
        <f t="shared" si="3"/>
        <v>26938.049879999999</v>
      </c>
    </row>
    <row r="105" spans="1:7" x14ac:dyDescent="0.35">
      <c r="A105" s="1141" t="s">
        <v>632</v>
      </c>
      <c r="B105" s="1141"/>
      <c r="C105" s="179">
        <v>3.3</v>
      </c>
      <c r="D105" s="179">
        <f>F96</f>
        <v>1433</v>
      </c>
      <c r="E105" s="179">
        <f>D105/100*C105</f>
        <v>47.288999999999994</v>
      </c>
      <c r="F105" s="179">
        <v>110.16999999999999</v>
      </c>
      <c r="G105" s="179">
        <f t="shared" si="3"/>
        <v>5209.8291299999992</v>
      </c>
    </row>
    <row r="106" spans="1:7" x14ac:dyDescent="0.35">
      <c r="A106" s="1142" t="s">
        <v>633</v>
      </c>
      <c r="B106" s="1143"/>
      <c r="C106" s="179">
        <v>0.8</v>
      </c>
      <c r="D106" s="179">
        <f>F96</f>
        <v>1433</v>
      </c>
      <c r="E106" s="179">
        <f t="shared" ref="E106:E115" si="4">D106/100*C106</f>
        <v>11.464</v>
      </c>
      <c r="F106" s="179">
        <v>23.69</v>
      </c>
      <c r="G106" s="179">
        <f t="shared" si="3"/>
        <v>271.58216000000004</v>
      </c>
    </row>
    <row r="107" spans="1:7" x14ac:dyDescent="0.35">
      <c r="A107" s="1141" t="s">
        <v>634</v>
      </c>
      <c r="B107" s="1141"/>
      <c r="C107" s="179">
        <v>0.3</v>
      </c>
      <c r="D107" s="179">
        <f>F96</f>
        <v>1433</v>
      </c>
      <c r="E107" s="179">
        <f t="shared" si="4"/>
        <v>4.2989999999999995</v>
      </c>
      <c r="F107" s="179">
        <v>242.76499999999999</v>
      </c>
      <c r="G107" s="179">
        <f t="shared" si="3"/>
        <v>1043.6467349999998</v>
      </c>
    </row>
    <row r="108" spans="1:7" x14ac:dyDescent="0.35">
      <c r="A108" s="1142" t="s">
        <v>635</v>
      </c>
      <c r="B108" s="1143"/>
      <c r="C108" s="179">
        <v>0.3</v>
      </c>
      <c r="D108" s="179">
        <f>F96</f>
        <v>1433</v>
      </c>
      <c r="E108" s="179">
        <f t="shared" si="4"/>
        <v>4.2989999999999995</v>
      </c>
      <c r="F108" s="179">
        <v>337.17999999999995</v>
      </c>
      <c r="G108" s="179">
        <f t="shared" si="3"/>
        <v>1449.5368199999996</v>
      </c>
    </row>
    <row r="109" spans="1:7" x14ac:dyDescent="0.35">
      <c r="A109" s="1142" t="s">
        <v>636</v>
      </c>
      <c r="B109" s="1143"/>
      <c r="C109" s="179">
        <v>0.2</v>
      </c>
      <c r="D109" s="179">
        <f>F96</f>
        <v>1433</v>
      </c>
      <c r="E109" s="179">
        <f t="shared" si="4"/>
        <v>2.8660000000000001</v>
      </c>
      <c r="F109" s="179">
        <v>331.2</v>
      </c>
      <c r="G109" s="179">
        <f t="shared" si="3"/>
        <v>949.2192</v>
      </c>
    </row>
    <row r="110" spans="1:7" x14ac:dyDescent="0.35">
      <c r="A110" s="1142" t="s">
        <v>637</v>
      </c>
      <c r="B110" s="1143"/>
      <c r="C110" s="179">
        <v>1</v>
      </c>
      <c r="D110" s="179">
        <f>F96</f>
        <v>1433</v>
      </c>
      <c r="E110" s="179">
        <f t="shared" si="4"/>
        <v>14.33</v>
      </c>
      <c r="F110" s="179">
        <v>133.39999999999998</v>
      </c>
      <c r="G110" s="179">
        <f t="shared" si="3"/>
        <v>1911.6219999999996</v>
      </c>
    </row>
    <row r="111" spans="1:7" x14ac:dyDescent="0.35">
      <c r="A111" s="1142" t="s">
        <v>638</v>
      </c>
      <c r="B111" s="1143"/>
      <c r="C111" s="179">
        <v>2.6</v>
      </c>
      <c r="D111" s="179">
        <f>F96</f>
        <v>1433</v>
      </c>
      <c r="E111" s="179">
        <f t="shared" si="4"/>
        <v>37.258000000000003</v>
      </c>
      <c r="F111" s="179">
        <v>133.39999999999998</v>
      </c>
      <c r="G111" s="179">
        <f t="shared" si="3"/>
        <v>4970.2171999999991</v>
      </c>
    </row>
    <row r="112" spans="1:7" x14ac:dyDescent="0.35">
      <c r="A112" s="1142" t="s">
        <v>639</v>
      </c>
      <c r="B112" s="1143"/>
      <c r="C112" s="179">
        <v>162.5</v>
      </c>
      <c r="D112" s="179">
        <f>F91</f>
        <v>190</v>
      </c>
      <c r="E112" s="179">
        <f t="shared" si="4"/>
        <v>308.75</v>
      </c>
      <c r="F112" s="179">
        <v>102.35</v>
      </c>
      <c r="G112" s="179">
        <f t="shared" si="3"/>
        <v>31600.5625</v>
      </c>
    </row>
    <row r="113" spans="1:7" x14ac:dyDescent="0.35">
      <c r="A113" s="1142" t="s">
        <v>640</v>
      </c>
      <c r="B113" s="1143"/>
      <c r="C113" s="179">
        <v>3.3</v>
      </c>
      <c r="D113" s="179">
        <f>F96</f>
        <v>1433</v>
      </c>
      <c r="E113" s="179">
        <f t="shared" si="4"/>
        <v>47.288999999999994</v>
      </c>
      <c r="F113" s="179">
        <v>36.799999999999997</v>
      </c>
      <c r="G113" s="179">
        <f t="shared" si="3"/>
        <v>1740.2351999999996</v>
      </c>
    </row>
    <row r="114" spans="1:7" x14ac:dyDescent="0.35">
      <c r="A114" s="1142" t="s">
        <v>641</v>
      </c>
      <c r="B114" s="1143"/>
      <c r="C114" s="179">
        <v>9.8000000000000007</v>
      </c>
      <c r="D114" s="179">
        <f>F96</f>
        <v>1433</v>
      </c>
      <c r="E114" s="179">
        <f t="shared" si="4"/>
        <v>140.434</v>
      </c>
      <c r="F114" s="179">
        <v>337.17999999999995</v>
      </c>
      <c r="G114" s="179">
        <f t="shared" si="3"/>
        <v>47351.53611999999</v>
      </c>
    </row>
    <row r="115" spans="1:7" x14ac:dyDescent="0.35">
      <c r="A115" s="1142" t="s">
        <v>642</v>
      </c>
      <c r="B115" s="1143"/>
      <c r="C115" s="179">
        <v>2.1</v>
      </c>
      <c r="D115" s="179">
        <f>F96</f>
        <v>1433</v>
      </c>
      <c r="E115" s="179">
        <f t="shared" si="4"/>
        <v>30.093</v>
      </c>
      <c r="F115" s="179">
        <v>51.749999999999993</v>
      </c>
      <c r="G115" s="179">
        <f t="shared" si="3"/>
        <v>1557.3127499999998</v>
      </c>
    </row>
    <row r="116" spans="1:7" x14ac:dyDescent="0.35">
      <c r="A116" s="1138" t="s">
        <v>597</v>
      </c>
      <c r="B116" s="1138"/>
      <c r="C116" s="179"/>
      <c r="D116" s="179"/>
      <c r="E116" s="179"/>
      <c r="F116" s="179"/>
      <c r="G116" s="179">
        <f>G102+G103+G104+G105+G107+G106+G108+G109+G110+G111+G112+G113+G114+G115</f>
        <v>126825.93601299998</v>
      </c>
    </row>
    <row r="117" spans="1:7" x14ac:dyDescent="0.35">
      <c r="A117" s="1144"/>
      <c r="B117" s="1144"/>
      <c r="C117" s="181"/>
      <c r="D117" s="181"/>
      <c r="E117" s="181"/>
      <c r="F117" s="181"/>
      <c r="G117" s="181"/>
    </row>
    <row r="118" spans="1:7" x14ac:dyDescent="0.35">
      <c r="A118" s="181"/>
      <c r="B118" s="181"/>
      <c r="C118" s="181"/>
      <c r="D118" s="181"/>
      <c r="E118" s="181"/>
      <c r="F118" s="181"/>
      <c r="G118" s="181"/>
    </row>
    <row r="119" spans="1:7" x14ac:dyDescent="0.35">
      <c r="A119" s="1145" t="s">
        <v>643</v>
      </c>
      <c r="B119" s="1145"/>
      <c r="C119" s="1145"/>
      <c r="D119" s="1145"/>
      <c r="E119" s="1145"/>
      <c r="F119" s="1145"/>
      <c r="G119" s="1145"/>
    </row>
    <row r="120" spans="1:7" x14ac:dyDescent="0.35">
      <c r="A120" s="178"/>
      <c r="B120" s="178"/>
      <c r="C120" s="178"/>
      <c r="D120" s="178"/>
      <c r="E120" s="178"/>
      <c r="F120" s="178"/>
      <c r="G120" s="178"/>
    </row>
    <row r="121" spans="1:7" x14ac:dyDescent="0.35">
      <c r="A121" s="1137" t="s">
        <v>644</v>
      </c>
      <c r="B121" s="1137"/>
      <c r="C121" s="1137"/>
      <c r="D121" s="1137"/>
      <c r="E121" s="1137"/>
      <c r="F121" s="1137"/>
      <c r="G121" s="178"/>
    </row>
    <row r="122" spans="1:7" x14ac:dyDescent="0.35">
      <c r="A122" s="178"/>
      <c r="B122" s="178"/>
      <c r="C122" s="178"/>
      <c r="D122" s="178"/>
      <c r="E122" s="178"/>
      <c r="F122" s="178"/>
      <c r="G122" s="178"/>
    </row>
    <row r="123" spans="1:7" ht="50" x14ac:dyDescent="0.35">
      <c r="A123" s="177" t="s">
        <v>645</v>
      </c>
      <c r="B123" s="177" t="s">
        <v>571</v>
      </c>
      <c r="C123" s="177" t="s">
        <v>572</v>
      </c>
      <c r="D123" s="177" t="s">
        <v>621</v>
      </c>
      <c r="E123" s="177" t="s">
        <v>622</v>
      </c>
      <c r="F123" s="178"/>
      <c r="G123" s="178"/>
    </row>
    <row r="124" spans="1:7" x14ac:dyDescent="0.35">
      <c r="A124" s="179">
        <v>1</v>
      </c>
      <c r="B124" s="180">
        <v>2</v>
      </c>
      <c r="C124" s="179">
        <v>3</v>
      </c>
      <c r="D124" s="179">
        <v>4</v>
      </c>
      <c r="E124" s="179">
        <v>5</v>
      </c>
      <c r="F124" s="178"/>
      <c r="G124" s="178"/>
    </row>
    <row r="125" spans="1:7" x14ac:dyDescent="0.35">
      <c r="A125" s="179">
        <v>160</v>
      </c>
      <c r="B125" s="180">
        <v>20</v>
      </c>
      <c r="C125" s="179">
        <v>12</v>
      </c>
      <c r="D125" s="179">
        <v>150</v>
      </c>
      <c r="E125" s="179">
        <f t="shared" ref="E125:E130" si="5">B125/C125*D125</f>
        <v>250</v>
      </c>
      <c r="F125" s="178"/>
      <c r="G125" s="178"/>
    </row>
    <row r="126" spans="1:7" x14ac:dyDescent="0.35">
      <c r="A126" s="179">
        <v>250</v>
      </c>
      <c r="B126" s="180">
        <v>32</v>
      </c>
      <c r="C126" s="179">
        <v>12</v>
      </c>
      <c r="D126" s="179">
        <v>179</v>
      </c>
      <c r="E126" s="179">
        <f t="shared" si="5"/>
        <v>477.33333333333331</v>
      </c>
      <c r="F126" s="178"/>
      <c r="G126" s="178"/>
    </row>
    <row r="127" spans="1:7" x14ac:dyDescent="0.35">
      <c r="A127" s="179">
        <v>400</v>
      </c>
      <c r="B127" s="180">
        <v>33</v>
      </c>
      <c r="C127" s="179">
        <v>12</v>
      </c>
      <c r="D127" s="179">
        <v>216</v>
      </c>
      <c r="E127" s="179">
        <f t="shared" si="5"/>
        <v>594</v>
      </c>
      <c r="F127" s="178"/>
      <c r="G127" s="178"/>
    </row>
    <row r="128" spans="1:7" x14ac:dyDescent="0.35">
      <c r="A128" s="179">
        <v>630</v>
      </c>
      <c r="B128" s="180">
        <v>16</v>
      </c>
      <c r="C128" s="179">
        <v>12</v>
      </c>
      <c r="D128" s="179">
        <v>258</v>
      </c>
      <c r="E128" s="179">
        <f t="shared" si="5"/>
        <v>344</v>
      </c>
      <c r="F128" s="178"/>
      <c r="G128" s="178"/>
    </row>
    <row r="129" spans="1:7" x14ac:dyDescent="0.35">
      <c r="A129" s="179">
        <v>1000</v>
      </c>
      <c r="B129" s="180">
        <v>4</v>
      </c>
      <c r="C129" s="179">
        <v>12</v>
      </c>
      <c r="D129" s="179">
        <v>310</v>
      </c>
      <c r="E129" s="179">
        <f>B129/C129*D129</f>
        <v>103.33333333333333</v>
      </c>
      <c r="F129" s="178"/>
      <c r="G129" s="178"/>
    </row>
    <row r="130" spans="1:7" x14ac:dyDescent="0.35">
      <c r="A130" s="179">
        <v>1600</v>
      </c>
      <c r="B130" s="179"/>
      <c r="C130" s="179">
        <v>12</v>
      </c>
      <c r="D130" s="179">
        <v>375</v>
      </c>
      <c r="E130" s="179">
        <f t="shared" si="5"/>
        <v>0</v>
      </c>
      <c r="F130" s="178"/>
      <c r="G130" s="178"/>
    </row>
    <row r="131" spans="1:7" x14ac:dyDescent="0.35">
      <c r="A131" s="179"/>
      <c r="B131" s="179" t="s">
        <v>579</v>
      </c>
      <c r="C131" s="179"/>
      <c r="D131" s="179"/>
      <c r="E131" s="179">
        <f>E125+E126+E127+E128+E129+E130</f>
        <v>1768.6666666666665</v>
      </c>
      <c r="F131" s="178"/>
      <c r="G131" s="178"/>
    </row>
    <row r="132" spans="1:7" x14ac:dyDescent="0.35">
      <c r="A132" s="178"/>
      <c r="B132" s="178"/>
      <c r="C132" s="178"/>
      <c r="D132" s="178"/>
      <c r="E132" s="178"/>
      <c r="F132" s="178"/>
      <c r="G132" s="178"/>
    </row>
    <row r="133" spans="1:7" x14ac:dyDescent="0.35">
      <c r="A133" s="1137" t="s">
        <v>646</v>
      </c>
      <c r="B133" s="1137"/>
      <c r="C133" s="1137"/>
      <c r="D133" s="1137"/>
      <c r="E133" s="1137"/>
      <c r="F133" s="1137"/>
      <c r="G133" s="178"/>
    </row>
    <row r="134" spans="1:7" x14ac:dyDescent="0.35">
      <c r="A134" s="178"/>
      <c r="B134" s="178"/>
      <c r="C134" s="178"/>
      <c r="D134" s="178"/>
      <c r="E134" s="178"/>
      <c r="F134" s="178"/>
      <c r="G134" s="178"/>
    </row>
    <row r="135" spans="1:7" ht="50" x14ac:dyDescent="0.35">
      <c r="A135" s="1138" t="s">
        <v>582</v>
      </c>
      <c r="B135" s="1138"/>
      <c r="C135" s="179" t="s">
        <v>583</v>
      </c>
      <c r="D135" s="179" t="s">
        <v>647</v>
      </c>
      <c r="E135" s="179" t="s">
        <v>585</v>
      </c>
      <c r="F135" s="179" t="s">
        <v>586</v>
      </c>
      <c r="G135" s="179" t="s">
        <v>587</v>
      </c>
    </row>
    <row r="136" spans="1:7" x14ac:dyDescent="0.35">
      <c r="A136" s="1139">
        <v>1</v>
      </c>
      <c r="B136" s="1140"/>
      <c r="C136" s="179">
        <v>2</v>
      </c>
      <c r="D136" s="179">
        <v>3</v>
      </c>
      <c r="E136" s="179">
        <v>4</v>
      </c>
      <c r="F136" s="179">
        <v>5</v>
      </c>
      <c r="G136" s="179">
        <v>6</v>
      </c>
    </row>
    <row r="137" spans="1:7" x14ac:dyDescent="0.35">
      <c r="A137" s="1141" t="s">
        <v>648</v>
      </c>
      <c r="B137" s="1141"/>
      <c r="C137" s="179">
        <v>56.5</v>
      </c>
      <c r="D137" s="179">
        <f>E131</f>
        <v>1768.6666666666665</v>
      </c>
      <c r="E137" s="179">
        <f>D137/100*C137</f>
        <v>999.29666666666651</v>
      </c>
      <c r="F137" s="179">
        <v>124.19999999999999</v>
      </c>
      <c r="G137" s="179">
        <f>E137*F137</f>
        <v>124112.64599999996</v>
      </c>
    </row>
    <row r="138" spans="1:7" x14ac:dyDescent="0.35">
      <c r="A138" s="1141" t="s">
        <v>649</v>
      </c>
      <c r="B138" s="1141"/>
      <c r="C138" s="179">
        <v>45.2</v>
      </c>
      <c r="D138" s="179">
        <f>E131</f>
        <v>1768.6666666666665</v>
      </c>
      <c r="E138" s="179">
        <f>D138/100*C138</f>
        <v>799.4373333333333</v>
      </c>
      <c r="F138" s="179">
        <v>34.5</v>
      </c>
      <c r="G138" s="179">
        <f t="shared" ref="G138:G157" si="6">E138*F138</f>
        <v>27580.588</v>
      </c>
    </row>
    <row r="139" spans="1:7" x14ac:dyDescent="0.35">
      <c r="A139" s="1141" t="s">
        <v>650</v>
      </c>
      <c r="B139" s="1141"/>
      <c r="C139" s="179">
        <v>0.7</v>
      </c>
      <c r="D139" s="179">
        <f>E131</f>
        <v>1768.6666666666665</v>
      </c>
      <c r="E139" s="179">
        <f>D139/100*C139</f>
        <v>12.380666666666665</v>
      </c>
      <c r="F139" s="179">
        <v>61.18</v>
      </c>
      <c r="G139" s="179">
        <f t="shared" si="6"/>
        <v>757.44918666666649</v>
      </c>
    </row>
    <row r="140" spans="1:7" x14ac:dyDescent="0.35">
      <c r="A140" s="1141" t="s">
        <v>630</v>
      </c>
      <c r="B140" s="1141"/>
      <c r="C140" s="179">
        <v>14.7</v>
      </c>
      <c r="D140" s="179">
        <f>E131</f>
        <v>1768.6666666666665</v>
      </c>
      <c r="E140" s="179">
        <f>D140/100*C140</f>
        <v>259.99399999999997</v>
      </c>
      <c r="F140" s="184">
        <v>95.081999999999994</v>
      </c>
      <c r="G140" s="179">
        <f t="shared" si="6"/>
        <v>24720.749507999997</v>
      </c>
    </row>
    <row r="141" spans="1:7" x14ac:dyDescent="0.35">
      <c r="A141" s="1142" t="s">
        <v>651</v>
      </c>
      <c r="B141" s="1143"/>
      <c r="C141" s="179">
        <v>16.5</v>
      </c>
      <c r="D141" s="179">
        <f>E131</f>
        <v>1768.6666666666665</v>
      </c>
      <c r="E141" s="179">
        <f t="shared" ref="E141:E159" si="7">D141/100*C141</f>
        <v>291.82999999999993</v>
      </c>
      <c r="F141" s="179">
        <v>190.89999999999998</v>
      </c>
      <c r="G141" s="179">
        <f t="shared" si="6"/>
        <v>55710.34699999998</v>
      </c>
    </row>
    <row r="142" spans="1:7" x14ac:dyDescent="0.35">
      <c r="A142" s="1141" t="s">
        <v>652</v>
      </c>
      <c r="B142" s="1141"/>
      <c r="C142" s="179">
        <v>1.6</v>
      </c>
      <c r="D142" s="179">
        <f>E131</f>
        <v>1768.6666666666665</v>
      </c>
      <c r="E142" s="179">
        <f t="shared" si="7"/>
        <v>28.298666666666662</v>
      </c>
      <c r="F142" s="179">
        <v>190.89999999999998</v>
      </c>
      <c r="G142" s="179">
        <f t="shared" si="6"/>
        <v>5402.2154666666647</v>
      </c>
    </row>
    <row r="143" spans="1:7" x14ac:dyDescent="0.35">
      <c r="A143" s="1142" t="s">
        <v>653</v>
      </c>
      <c r="B143" s="1143"/>
      <c r="C143" s="179">
        <v>0.1</v>
      </c>
      <c r="D143" s="179">
        <f>E131</f>
        <v>1768.6666666666665</v>
      </c>
      <c r="E143" s="179">
        <f t="shared" si="7"/>
        <v>1.7686666666666664</v>
      </c>
      <c r="F143" s="179">
        <v>526.00999999999988</v>
      </c>
      <c r="G143" s="179">
        <f t="shared" si="6"/>
        <v>930.33635333333302</v>
      </c>
    </row>
    <row r="144" spans="1:7" x14ac:dyDescent="0.35">
      <c r="A144" s="1142" t="s">
        <v>654</v>
      </c>
      <c r="B144" s="1143"/>
      <c r="C144" s="179">
        <v>4.3</v>
      </c>
      <c r="D144" s="179">
        <f>E131</f>
        <v>1768.6666666666665</v>
      </c>
      <c r="E144" s="179">
        <f t="shared" si="7"/>
        <v>76.052666666666653</v>
      </c>
      <c r="F144" s="179">
        <v>38.755000000000003</v>
      </c>
      <c r="G144" s="179">
        <f t="shared" si="6"/>
        <v>2947.4210966666665</v>
      </c>
    </row>
    <row r="145" spans="1:7" x14ac:dyDescent="0.35">
      <c r="A145" s="1142" t="s">
        <v>655</v>
      </c>
      <c r="B145" s="1143"/>
      <c r="C145" s="179">
        <v>327.9</v>
      </c>
      <c r="D145" s="179">
        <f>E131</f>
        <v>1768.6666666666665</v>
      </c>
      <c r="E145" s="179">
        <f t="shared" si="7"/>
        <v>5799.4579999999987</v>
      </c>
      <c r="F145" s="179">
        <v>91.424999999999997</v>
      </c>
      <c r="G145" s="179">
        <f t="shared" si="6"/>
        <v>530215.44764999987</v>
      </c>
    </row>
    <row r="146" spans="1:7" x14ac:dyDescent="0.35">
      <c r="A146" s="1142" t="s">
        <v>633</v>
      </c>
      <c r="B146" s="1143"/>
      <c r="C146" s="179">
        <v>37.299999999999997</v>
      </c>
      <c r="D146" s="179">
        <f>E131</f>
        <v>1768.6666666666665</v>
      </c>
      <c r="E146" s="179">
        <f t="shared" si="7"/>
        <v>659.71266666666656</v>
      </c>
      <c r="F146" s="179">
        <v>121.43999999999998</v>
      </c>
      <c r="G146" s="179">
        <f t="shared" si="6"/>
        <v>80115.506239999973</v>
      </c>
    </row>
    <row r="147" spans="1:7" x14ac:dyDescent="0.35">
      <c r="A147" s="1142" t="s">
        <v>656</v>
      </c>
      <c r="B147" s="1143"/>
      <c r="C147" s="179">
        <v>2.2999999999999998</v>
      </c>
      <c r="D147" s="179">
        <f>E125</f>
        <v>250</v>
      </c>
      <c r="E147" s="179">
        <f t="shared" si="7"/>
        <v>5.75</v>
      </c>
      <c r="F147" s="179">
        <v>31.395</v>
      </c>
      <c r="G147" s="179">
        <f t="shared" si="6"/>
        <v>180.52125000000001</v>
      </c>
    </row>
    <row r="148" spans="1:7" x14ac:dyDescent="0.35">
      <c r="A148" s="1142" t="s">
        <v>657</v>
      </c>
      <c r="B148" s="1143"/>
      <c r="C148" s="179">
        <v>4.8</v>
      </c>
      <c r="D148" s="179">
        <f>E131</f>
        <v>1768.6666666666665</v>
      </c>
      <c r="E148" s="179">
        <f t="shared" si="7"/>
        <v>84.895999999999987</v>
      </c>
      <c r="F148" s="179">
        <v>202.285</v>
      </c>
      <c r="G148" s="179">
        <f t="shared" si="6"/>
        <v>17173.187359999996</v>
      </c>
    </row>
    <row r="149" spans="1:7" x14ac:dyDescent="0.35">
      <c r="A149" s="1142" t="s">
        <v>658</v>
      </c>
      <c r="B149" s="1143"/>
      <c r="C149" s="179">
        <v>287.2</v>
      </c>
      <c r="D149" s="179">
        <f>D148</f>
        <v>1768.6666666666665</v>
      </c>
      <c r="E149" s="179">
        <f t="shared" si="7"/>
        <v>5079.6106666666656</v>
      </c>
      <c r="F149" s="179">
        <v>1.8399999999999999</v>
      </c>
      <c r="G149" s="179">
        <f t="shared" si="6"/>
        <v>9346.4836266666643</v>
      </c>
    </row>
    <row r="150" spans="1:7" x14ac:dyDescent="0.35">
      <c r="A150" s="1142" t="s">
        <v>659</v>
      </c>
      <c r="B150" s="1143"/>
      <c r="C150" s="179">
        <v>205.8</v>
      </c>
      <c r="D150" s="179">
        <f>D148</f>
        <v>1768.6666666666665</v>
      </c>
      <c r="E150" s="179">
        <f t="shared" si="7"/>
        <v>3639.9159999999997</v>
      </c>
      <c r="F150" s="179">
        <v>1.6099999999999999</v>
      </c>
      <c r="G150" s="179">
        <f t="shared" si="6"/>
        <v>5860.2647599999991</v>
      </c>
    </row>
    <row r="151" spans="1:7" x14ac:dyDescent="0.35">
      <c r="A151" s="1142" t="s">
        <v>634</v>
      </c>
      <c r="B151" s="1143"/>
      <c r="C151" s="179">
        <v>31.7</v>
      </c>
      <c r="D151" s="179">
        <f>D148</f>
        <v>1768.6666666666665</v>
      </c>
      <c r="E151" s="179">
        <f t="shared" si="7"/>
        <v>560.6673333333332</v>
      </c>
      <c r="F151" s="179">
        <v>242.76499999999999</v>
      </c>
      <c r="G151" s="179">
        <f t="shared" si="6"/>
        <v>136110.40517666662</v>
      </c>
    </row>
    <row r="152" spans="1:7" x14ac:dyDescent="0.35">
      <c r="A152" s="1142" t="s">
        <v>660</v>
      </c>
      <c r="B152" s="1143"/>
      <c r="C152" s="179">
        <v>0.6</v>
      </c>
      <c r="D152" s="179">
        <f>D148</f>
        <v>1768.6666666666665</v>
      </c>
      <c r="E152" s="179">
        <f t="shared" si="7"/>
        <v>10.611999999999998</v>
      </c>
      <c r="F152" s="179">
        <v>36.799999999999997</v>
      </c>
      <c r="G152" s="179">
        <f t="shared" si="6"/>
        <v>390.52159999999992</v>
      </c>
    </row>
    <row r="153" spans="1:7" x14ac:dyDescent="0.35">
      <c r="A153" s="1142" t="s">
        <v>637</v>
      </c>
      <c r="B153" s="1143"/>
      <c r="C153" s="179">
        <v>22.6</v>
      </c>
      <c r="D153" s="179">
        <f>D148</f>
        <v>1768.6666666666665</v>
      </c>
      <c r="E153" s="179">
        <f t="shared" si="7"/>
        <v>399.71866666666665</v>
      </c>
      <c r="F153" s="179">
        <v>133.39999999999998</v>
      </c>
      <c r="G153" s="179">
        <f t="shared" si="6"/>
        <v>53322.470133333321</v>
      </c>
    </row>
    <row r="154" spans="1:7" x14ac:dyDescent="0.35">
      <c r="A154" s="1142" t="s">
        <v>661</v>
      </c>
      <c r="B154" s="1143"/>
      <c r="C154" s="179">
        <v>5.7</v>
      </c>
      <c r="D154" s="179">
        <f>D153</f>
        <v>1768.6666666666665</v>
      </c>
      <c r="E154" s="179">
        <f t="shared" si="7"/>
        <v>100.81399999999999</v>
      </c>
      <c r="F154" s="179">
        <v>133.39999999999998</v>
      </c>
      <c r="G154" s="179">
        <f>E154*F154</f>
        <v>13448.587599999997</v>
      </c>
    </row>
    <row r="155" spans="1:7" x14ac:dyDescent="0.35">
      <c r="A155" s="1142" t="s">
        <v>640</v>
      </c>
      <c r="B155" s="1143"/>
      <c r="C155" s="179">
        <v>3.4</v>
      </c>
      <c r="D155" s="179">
        <f>D153</f>
        <v>1768.6666666666665</v>
      </c>
      <c r="E155" s="179">
        <f t="shared" si="7"/>
        <v>60.134666666666654</v>
      </c>
      <c r="F155" s="179">
        <v>36.799999999999997</v>
      </c>
      <c r="G155" s="179">
        <f>E155*F155</f>
        <v>2212.9557333333328</v>
      </c>
    </row>
    <row r="156" spans="1:7" x14ac:dyDescent="0.35">
      <c r="A156" s="1142" t="s">
        <v>662</v>
      </c>
      <c r="B156" s="1143"/>
      <c r="C156" s="179">
        <v>3.6</v>
      </c>
      <c r="D156" s="179">
        <f>D153</f>
        <v>1768.6666666666665</v>
      </c>
      <c r="E156" s="179">
        <f t="shared" si="7"/>
        <v>63.67199999999999</v>
      </c>
      <c r="F156" s="179">
        <v>40.479999999999997</v>
      </c>
      <c r="G156" s="179">
        <f t="shared" si="6"/>
        <v>2577.4425599999995</v>
      </c>
    </row>
    <row r="157" spans="1:7" x14ac:dyDescent="0.35">
      <c r="A157" s="1142" t="s">
        <v>663</v>
      </c>
      <c r="B157" s="1143"/>
      <c r="C157" s="179">
        <v>0.9</v>
      </c>
      <c r="D157" s="179">
        <f>D153</f>
        <v>1768.6666666666665</v>
      </c>
      <c r="E157" s="179">
        <f t="shared" si="7"/>
        <v>15.917999999999997</v>
      </c>
      <c r="F157" s="179">
        <v>41.515000000000001</v>
      </c>
      <c r="G157" s="179">
        <f t="shared" si="6"/>
        <v>660.83576999999991</v>
      </c>
    </row>
    <row r="158" spans="1:7" x14ac:dyDescent="0.35">
      <c r="A158" s="1142" t="s">
        <v>664</v>
      </c>
      <c r="B158" s="1143"/>
      <c r="C158" s="179">
        <v>9</v>
      </c>
      <c r="D158" s="179">
        <f>D153</f>
        <v>1768.6666666666665</v>
      </c>
      <c r="E158" s="179">
        <f t="shared" si="7"/>
        <v>159.17999999999998</v>
      </c>
      <c r="F158" s="179">
        <v>33.695</v>
      </c>
      <c r="G158" s="179">
        <f>E158*F158</f>
        <v>5363.570099999999</v>
      </c>
    </row>
    <row r="159" spans="1:7" x14ac:dyDescent="0.35">
      <c r="A159" s="1142" t="s">
        <v>639</v>
      </c>
      <c r="B159" s="1143"/>
      <c r="C159" s="177">
        <v>162.5</v>
      </c>
      <c r="D159" s="177">
        <f>D153</f>
        <v>1768.6666666666665</v>
      </c>
      <c r="E159" s="177">
        <f t="shared" si="7"/>
        <v>2874.083333333333</v>
      </c>
      <c r="F159" s="177">
        <v>102.35</v>
      </c>
      <c r="G159" s="177">
        <f>E159*F159</f>
        <v>294162.42916666664</v>
      </c>
    </row>
    <row r="160" spans="1:7" x14ac:dyDescent="0.35">
      <c r="A160" s="1142" t="s">
        <v>665</v>
      </c>
      <c r="B160" s="1143"/>
      <c r="C160" s="177">
        <v>80</v>
      </c>
      <c r="D160" s="177"/>
      <c r="E160" s="177"/>
      <c r="F160" s="177">
        <v>296.7</v>
      </c>
      <c r="G160" s="177">
        <f>C160*F160</f>
        <v>23736</v>
      </c>
    </row>
    <row r="161" spans="1:7" x14ac:dyDescent="0.35">
      <c r="A161" s="1142" t="s">
        <v>666</v>
      </c>
      <c r="B161" s="1143"/>
      <c r="C161" s="177">
        <v>25</v>
      </c>
      <c r="D161" s="177"/>
      <c r="E161" s="177"/>
      <c r="F161" s="177">
        <v>2875</v>
      </c>
      <c r="G161" s="177">
        <f>C161*F161</f>
        <v>71875</v>
      </c>
    </row>
    <row r="162" spans="1:7" x14ac:dyDescent="0.35">
      <c r="A162" s="1142" t="s">
        <v>667</v>
      </c>
      <c r="B162" s="1143"/>
      <c r="C162" s="177">
        <v>25</v>
      </c>
      <c r="D162" s="177"/>
      <c r="E162" s="177"/>
      <c r="F162" s="177">
        <v>7704.9999999999991</v>
      </c>
      <c r="G162" s="177">
        <f>C162*F162</f>
        <v>192624.99999999997</v>
      </c>
    </row>
    <row r="163" spans="1:7" x14ac:dyDescent="0.35">
      <c r="A163" s="1142" t="s">
        <v>642</v>
      </c>
      <c r="B163" s="1143"/>
      <c r="C163" s="177">
        <v>0.7</v>
      </c>
      <c r="D163" s="177">
        <f>E131</f>
        <v>1768.6666666666665</v>
      </c>
      <c r="E163" s="177">
        <f>D163/100*C163</f>
        <v>12.380666666666665</v>
      </c>
      <c r="F163" s="177">
        <v>51.749999999999993</v>
      </c>
      <c r="G163" s="177">
        <f>E163*F163</f>
        <v>640.69949999999983</v>
      </c>
    </row>
    <row r="164" spans="1:7" x14ac:dyDescent="0.35">
      <c r="A164" s="1141" t="s">
        <v>668</v>
      </c>
      <c r="B164" s="1141"/>
      <c r="C164" s="179"/>
      <c r="D164" s="179"/>
      <c r="E164" s="179"/>
      <c r="F164" s="179"/>
      <c r="G164" s="179">
        <f>SUM(G137:G163)</f>
        <v>1682179.0808379999</v>
      </c>
    </row>
    <row r="165" spans="1:7" x14ac:dyDescent="0.35">
      <c r="A165" s="1144"/>
      <c r="B165" s="1144"/>
      <c r="C165" s="181"/>
      <c r="D165" s="181"/>
      <c r="E165" s="181"/>
      <c r="F165" s="181"/>
      <c r="G165" s="181"/>
    </row>
    <row r="166" spans="1:7" x14ac:dyDescent="0.35">
      <c r="A166" s="178"/>
      <c r="B166" s="178"/>
      <c r="C166" s="178"/>
      <c r="D166" s="178"/>
      <c r="E166" s="178"/>
      <c r="F166" s="178"/>
      <c r="G166" s="178"/>
    </row>
    <row r="167" spans="1:7" x14ac:dyDescent="0.35">
      <c r="A167" s="178"/>
      <c r="B167" s="178"/>
      <c r="C167" s="178"/>
      <c r="D167" s="178"/>
      <c r="E167" s="178"/>
      <c r="F167" s="178"/>
      <c r="G167" s="178"/>
    </row>
    <row r="168" spans="1:7" x14ac:dyDescent="0.35">
      <c r="A168" s="178"/>
      <c r="B168" s="178"/>
      <c r="C168" s="178"/>
      <c r="D168" s="178"/>
      <c r="E168" s="178"/>
      <c r="F168" s="178"/>
      <c r="G168" s="178"/>
    </row>
    <row r="169" spans="1:7" ht="15.5" x14ac:dyDescent="0.35">
      <c r="A169" s="1153" t="s">
        <v>669</v>
      </c>
      <c r="B169" s="1153"/>
      <c r="C169" s="1153"/>
      <c r="D169" s="1153"/>
      <c r="E169" s="1153"/>
      <c r="F169" s="1153"/>
      <c r="G169" s="1153"/>
    </row>
    <row r="170" spans="1:7" x14ac:dyDescent="0.35">
      <c r="A170" s="178"/>
      <c r="B170" s="178"/>
      <c r="C170" s="178"/>
      <c r="D170" s="178"/>
      <c r="E170" s="178"/>
      <c r="F170" s="178"/>
      <c r="G170" s="178"/>
    </row>
    <row r="171" spans="1:7" x14ac:dyDescent="0.35">
      <c r="A171" s="1146"/>
      <c r="B171" s="1154"/>
      <c r="C171" s="1154"/>
      <c r="D171" s="1154"/>
      <c r="E171" s="1147"/>
      <c r="F171" s="1138" t="s">
        <v>1270</v>
      </c>
      <c r="G171" s="1138"/>
    </row>
    <row r="172" spans="1:7" x14ac:dyDescent="0.35">
      <c r="A172" s="1155"/>
      <c r="B172" s="1156"/>
      <c r="C172" s="1156"/>
      <c r="D172" s="1156"/>
      <c r="E172" s="1157"/>
      <c r="F172" s="1139" t="s">
        <v>670</v>
      </c>
      <c r="G172" s="1140"/>
    </row>
    <row r="173" spans="1:7" x14ac:dyDescent="0.35">
      <c r="A173" s="1139" t="s">
        <v>671</v>
      </c>
      <c r="B173" s="1150"/>
      <c r="C173" s="1150"/>
      <c r="D173" s="1150"/>
      <c r="E173" s="1140"/>
      <c r="F173" s="1151">
        <f>F174+F175</f>
        <v>3311051.3700067871</v>
      </c>
      <c r="G173" s="1152"/>
    </row>
    <row r="174" spans="1:7" x14ac:dyDescent="0.35">
      <c r="A174" s="1139" t="s">
        <v>672</v>
      </c>
      <c r="B174" s="1150"/>
      <c r="C174" s="1150"/>
      <c r="D174" s="1150"/>
      <c r="E174" s="1140"/>
      <c r="F174" s="1139">
        <f>G164+G116+G82+G56+G29</f>
        <v>2452630.644449472</v>
      </c>
      <c r="G174" s="1140"/>
    </row>
    <row r="175" spans="1:7" ht="30" x14ac:dyDescent="0.35">
      <c r="A175" s="179" t="s">
        <v>673</v>
      </c>
      <c r="B175" s="1139" t="s">
        <v>674</v>
      </c>
      <c r="C175" s="1150"/>
      <c r="D175" s="1150"/>
      <c r="E175" s="1140"/>
      <c r="F175" s="1139">
        <f>F174*35%</f>
        <v>858420.72555731516</v>
      </c>
      <c r="G175" s="1140"/>
    </row>
    <row r="176" spans="1:7" ht="15" x14ac:dyDescent="0.35">
      <c r="A176" s="178" t="s">
        <v>675</v>
      </c>
      <c r="B176" s="290" t="s">
        <v>931</v>
      </c>
      <c r="C176" s="291">
        <f>F173</f>
        <v>3311051.3700067871</v>
      </c>
      <c r="D176" s="270" t="s">
        <v>937</v>
      </c>
      <c r="E176" s="178"/>
      <c r="F176" s="178"/>
      <c r="G176" s="178"/>
    </row>
    <row r="178" spans="1:2" x14ac:dyDescent="0.35">
      <c r="A178" t="s">
        <v>1267</v>
      </c>
    </row>
    <row r="180" spans="1:2" x14ac:dyDescent="0.35">
      <c r="A180" s="1134" t="s">
        <v>676</v>
      </c>
      <c r="B180" s="1134"/>
    </row>
    <row r="181" spans="1:2" x14ac:dyDescent="0.35">
      <c r="A181" s="185" t="s">
        <v>677</v>
      </c>
      <c r="B181" s="185"/>
    </row>
  </sheetData>
  <mergeCells count="122">
    <mergeCell ref="A173:E173"/>
    <mergeCell ref="F173:G173"/>
    <mergeCell ref="A174:E174"/>
    <mergeCell ref="F174:G174"/>
    <mergeCell ref="B175:E175"/>
    <mergeCell ref="F175:G175"/>
    <mergeCell ref="A164:B164"/>
    <mergeCell ref="A165:B165"/>
    <mergeCell ref="A169:G169"/>
    <mergeCell ref="A171:E172"/>
    <mergeCell ref="F171:G171"/>
    <mergeCell ref="F172:G172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33:F133"/>
    <mergeCell ref="A135:B135"/>
    <mergeCell ref="A136:B136"/>
    <mergeCell ref="A137:B137"/>
    <mergeCell ref="A138:B138"/>
    <mergeCell ref="A139:B139"/>
    <mergeCell ref="A114:B114"/>
    <mergeCell ref="A115:B115"/>
    <mergeCell ref="A116:B116"/>
    <mergeCell ref="A117:B117"/>
    <mergeCell ref="A119:G119"/>
    <mergeCell ref="A121:F121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94:B94"/>
    <mergeCell ref="A95:B95"/>
    <mergeCell ref="A96:B96"/>
    <mergeCell ref="A98:F98"/>
    <mergeCell ref="A100:B100"/>
    <mergeCell ref="A101:B101"/>
    <mergeCell ref="A87:F87"/>
    <mergeCell ref="A89:B89"/>
    <mergeCell ref="A90:B90"/>
    <mergeCell ref="A91:B91"/>
    <mergeCell ref="A92:B92"/>
    <mergeCell ref="A93:B93"/>
    <mergeCell ref="A79:B79"/>
    <mergeCell ref="A80:B80"/>
    <mergeCell ref="A81:B81"/>
    <mergeCell ref="A82:B82"/>
    <mergeCell ref="A83:B83"/>
    <mergeCell ref="A85:G85"/>
    <mergeCell ref="A73:B73"/>
    <mergeCell ref="A74:B74"/>
    <mergeCell ref="A75:B75"/>
    <mergeCell ref="A76:B76"/>
    <mergeCell ref="A77:B77"/>
    <mergeCell ref="A78:B78"/>
    <mergeCell ref="A30:B30"/>
    <mergeCell ref="A32:G32"/>
    <mergeCell ref="C55:D55"/>
    <mergeCell ref="A56:B56"/>
    <mergeCell ref="A57:B57"/>
    <mergeCell ref="A59:G59"/>
    <mergeCell ref="A61:F61"/>
    <mergeCell ref="A71:F71"/>
    <mergeCell ref="A50:B50"/>
    <mergeCell ref="A51:B51"/>
    <mergeCell ref="A52:B52"/>
    <mergeCell ref="A53:B53"/>
    <mergeCell ref="A54:B54"/>
    <mergeCell ref="A55:B55"/>
    <mergeCell ref="A2:F2"/>
    <mergeCell ref="A180:B180"/>
    <mergeCell ref="A4:F5"/>
    <mergeCell ref="A6:F6"/>
    <mergeCell ref="A15:G15"/>
    <mergeCell ref="A17:F17"/>
    <mergeCell ref="A19:B19"/>
    <mergeCell ref="A20:B20"/>
    <mergeCell ref="A34:F34"/>
    <mergeCell ref="A43:G43"/>
    <mergeCell ref="A45:F45"/>
    <mergeCell ref="A27:B27"/>
    <mergeCell ref="C27:D27"/>
    <mergeCell ref="A28:B28"/>
    <mergeCell ref="A21:B21"/>
    <mergeCell ref="A22:B22"/>
    <mergeCell ref="A23:B23"/>
    <mergeCell ref="A24:B24"/>
    <mergeCell ref="A25:B25"/>
    <mergeCell ref="A26:B26"/>
    <mergeCell ref="A47:B47"/>
    <mergeCell ref="A48:B48"/>
    <mergeCell ref="A49:B49"/>
    <mergeCell ref="A29:B2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76" workbookViewId="0">
      <selection activeCell="I69" sqref="A1:I69"/>
    </sheetView>
  </sheetViews>
  <sheetFormatPr defaultRowHeight="14.5" x14ac:dyDescent="0.35"/>
  <cols>
    <col min="1" max="1" width="6.54296875" customWidth="1"/>
    <col min="9" max="9" width="9.453125" bestFit="1" customWidth="1"/>
  </cols>
  <sheetData>
    <row r="1" spans="1:9" x14ac:dyDescent="0.35">
      <c r="A1" s="1161" t="s">
        <v>1268</v>
      </c>
      <c r="B1" s="1162"/>
      <c r="C1" s="1162"/>
      <c r="D1" s="1162"/>
      <c r="E1" s="1162"/>
      <c r="F1" s="1162"/>
      <c r="G1" s="1162"/>
      <c r="H1" s="1162"/>
      <c r="I1" s="1162"/>
    </row>
    <row r="2" spans="1:9" ht="15" thickBot="1" x14ac:dyDescent="0.4">
      <c r="A2" s="1163"/>
      <c r="B2" s="1164"/>
      <c r="C2" s="1164"/>
      <c r="D2" s="1164"/>
      <c r="E2" s="1164"/>
      <c r="F2" s="1164"/>
      <c r="G2" s="1164"/>
      <c r="H2" s="1164"/>
      <c r="I2" s="1164"/>
    </row>
    <row r="3" spans="1:9" ht="15" thickBot="1" x14ac:dyDescent="0.4">
      <c r="A3" s="484" t="s">
        <v>678</v>
      </c>
      <c r="B3" s="1165" t="s">
        <v>679</v>
      </c>
      <c r="C3" s="1165"/>
      <c r="D3" s="1165"/>
      <c r="E3" s="485" t="s">
        <v>55</v>
      </c>
      <c r="F3" s="1166" t="s">
        <v>680</v>
      </c>
      <c r="G3" s="1166"/>
      <c r="H3" s="486" t="s">
        <v>819</v>
      </c>
      <c r="I3" s="487" t="s">
        <v>820</v>
      </c>
    </row>
    <row r="4" spans="1:9" x14ac:dyDescent="0.35">
      <c r="A4" s="388" t="s">
        <v>30</v>
      </c>
      <c r="B4" s="1167" t="s">
        <v>681</v>
      </c>
      <c r="C4" s="1167"/>
      <c r="D4" s="1167"/>
      <c r="E4" s="391" t="s">
        <v>682</v>
      </c>
      <c r="F4" s="1168">
        <v>1</v>
      </c>
      <c r="G4" s="1168"/>
      <c r="H4" s="684">
        <v>3860.895</v>
      </c>
      <c r="I4" s="488">
        <f>F4*H4</f>
        <v>3860.895</v>
      </c>
    </row>
    <row r="5" spans="1:9" x14ac:dyDescent="0.35">
      <c r="A5" s="489" t="s">
        <v>32</v>
      </c>
      <c r="B5" s="1171" t="s">
        <v>683</v>
      </c>
      <c r="C5" s="1172"/>
      <c r="D5" s="1173"/>
      <c r="E5" s="42" t="s">
        <v>682</v>
      </c>
      <c r="F5" s="1169">
        <v>1</v>
      </c>
      <c r="G5" s="1170"/>
      <c r="H5" s="685">
        <v>1332.6314999999997</v>
      </c>
      <c r="I5" s="488">
        <f t="shared" ref="I5:I34" si="0">F5*H5</f>
        <v>1332.6314999999997</v>
      </c>
    </row>
    <row r="6" spans="1:9" x14ac:dyDescent="0.35">
      <c r="A6" s="189" t="s">
        <v>34</v>
      </c>
      <c r="B6" s="1158" t="s">
        <v>684</v>
      </c>
      <c r="C6" s="1158"/>
      <c r="D6" s="1158"/>
      <c r="E6" s="190" t="s">
        <v>682</v>
      </c>
      <c r="F6" s="1159">
        <v>2</v>
      </c>
      <c r="G6" s="1159"/>
      <c r="H6" s="686">
        <v>1992.7199999999998</v>
      </c>
      <c r="I6" s="188">
        <f t="shared" si="0"/>
        <v>3985.4399999999996</v>
      </c>
    </row>
    <row r="7" spans="1:9" x14ac:dyDescent="0.35">
      <c r="A7" s="189" t="s">
        <v>227</v>
      </c>
      <c r="B7" s="1160" t="s">
        <v>685</v>
      </c>
      <c r="C7" s="1160"/>
      <c r="D7" s="1160"/>
      <c r="E7" s="190" t="s">
        <v>682</v>
      </c>
      <c r="F7" s="1159">
        <v>1</v>
      </c>
      <c r="G7" s="1159"/>
      <c r="H7" s="686">
        <v>846.90599999999995</v>
      </c>
      <c r="I7" s="188">
        <f t="shared" si="0"/>
        <v>846.90599999999995</v>
      </c>
    </row>
    <row r="8" spans="1:9" x14ac:dyDescent="0.35">
      <c r="A8" s="189" t="s">
        <v>300</v>
      </c>
      <c r="B8" s="1158" t="s">
        <v>686</v>
      </c>
      <c r="C8" s="1158"/>
      <c r="D8" s="1158"/>
      <c r="E8" s="190" t="s">
        <v>682</v>
      </c>
      <c r="F8" s="1159">
        <v>4</v>
      </c>
      <c r="G8" s="1159"/>
      <c r="H8" s="686">
        <v>2490.8999999999996</v>
      </c>
      <c r="I8" s="188">
        <f t="shared" si="0"/>
        <v>9963.5999999999985</v>
      </c>
    </row>
    <row r="9" spans="1:9" x14ac:dyDescent="0.35">
      <c r="A9" s="189"/>
      <c r="B9" s="1158" t="s">
        <v>816</v>
      </c>
      <c r="C9" s="1158"/>
      <c r="D9" s="1158"/>
      <c r="E9" s="190" t="s">
        <v>682</v>
      </c>
      <c r="F9" s="1174">
        <v>6</v>
      </c>
      <c r="G9" s="1175"/>
      <c r="H9" s="686">
        <v>2092.3559999999998</v>
      </c>
      <c r="I9" s="188">
        <f t="shared" si="0"/>
        <v>12554.135999999999</v>
      </c>
    </row>
    <row r="10" spans="1:9" x14ac:dyDescent="0.35">
      <c r="A10" s="189" t="s">
        <v>302</v>
      </c>
      <c r="B10" s="1158" t="s">
        <v>687</v>
      </c>
      <c r="C10" s="1158"/>
      <c r="D10" s="1158"/>
      <c r="E10" s="190" t="s">
        <v>682</v>
      </c>
      <c r="F10" s="1159">
        <v>1</v>
      </c>
      <c r="G10" s="1159"/>
      <c r="H10" s="686">
        <v>3736.35</v>
      </c>
      <c r="I10" s="188">
        <f t="shared" si="0"/>
        <v>3736.35</v>
      </c>
    </row>
    <row r="11" spans="1:9" x14ac:dyDescent="0.35">
      <c r="A11" s="189" t="s">
        <v>36</v>
      </c>
      <c r="B11" s="1158" t="s">
        <v>688</v>
      </c>
      <c r="C11" s="1158"/>
      <c r="D11" s="1158"/>
      <c r="E11" s="190" t="s">
        <v>682</v>
      </c>
      <c r="F11" s="1159">
        <v>20</v>
      </c>
      <c r="G11" s="1159"/>
      <c r="H11" s="686">
        <v>249.08999999999997</v>
      </c>
      <c r="I11" s="188">
        <f t="shared" si="0"/>
        <v>4981.7999999999993</v>
      </c>
    </row>
    <row r="12" spans="1:9" x14ac:dyDescent="0.35">
      <c r="A12" s="189" t="s">
        <v>305</v>
      </c>
      <c r="B12" s="1158" t="s">
        <v>689</v>
      </c>
      <c r="C12" s="1158"/>
      <c r="D12" s="1158"/>
      <c r="E12" s="190" t="s">
        <v>682</v>
      </c>
      <c r="F12" s="1159">
        <v>1</v>
      </c>
      <c r="G12" s="1159"/>
      <c r="H12" s="686">
        <v>20549.924999999999</v>
      </c>
      <c r="I12" s="188">
        <f t="shared" si="0"/>
        <v>20549.924999999999</v>
      </c>
    </row>
    <row r="13" spans="1:9" ht="22.5" customHeight="1" x14ac:dyDescent="0.35">
      <c r="A13" s="189" t="s">
        <v>310</v>
      </c>
      <c r="B13" s="1158" t="s">
        <v>690</v>
      </c>
      <c r="C13" s="1158"/>
      <c r="D13" s="1158"/>
      <c r="E13" s="190" t="s">
        <v>682</v>
      </c>
      <c r="F13" s="1159">
        <v>50</v>
      </c>
      <c r="G13" s="1159"/>
      <c r="H13" s="686">
        <v>24.908999999999999</v>
      </c>
      <c r="I13" s="188">
        <f t="shared" si="0"/>
        <v>1245.45</v>
      </c>
    </row>
    <row r="14" spans="1:9" x14ac:dyDescent="0.35">
      <c r="A14" s="189" t="s">
        <v>311</v>
      </c>
      <c r="B14" s="1158" t="s">
        <v>691</v>
      </c>
      <c r="C14" s="1158"/>
      <c r="D14" s="1158"/>
      <c r="E14" s="190" t="s">
        <v>682</v>
      </c>
      <c r="F14" s="1159">
        <v>15</v>
      </c>
      <c r="G14" s="1159"/>
      <c r="H14" s="686">
        <v>249.08999999999997</v>
      </c>
      <c r="I14" s="188">
        <f t="shared" si="0"/>
        <v>3736.3499999999995</v>
      </c>
    </row>
    <row r="15" spans="1:9" x14ac:dyDescent="0.35">
      <c r="A15" s="189" t="s">
        <v>312</v>
      </c>
      <c r="B15" s="1158" t="s">
        <v>692</v>
      </c>
      <c r="C15" s="1158"/>
      <c r="D15" s="1158"/>
      <c r="E15" s="190" t="s">
        <v>682</v>
      </c>
      <c r="F15" s="1159">
        <v>15</v>
      </c>
      <c r="G15" s="1159"/>
      <c r="H15" s="686">
        <v>249.08999999999997</v>
      </c>
      <c r="I15" s="188">
        <f t="shared" si="0"/>
        <v>3736.3499999999995</v>
      </c>
    </row>
    <row r="16" spans="1:9" x14ac:dyDescent="0.35">
      <c r="A16" s="189" t="s">
        <v>401</v>
      </c>
      <c r="B16" s="1158" t="s">
        <v>693</v>
      </c>
      <c r="C16" s="1158"/>
      <c r="D16" s="1158"/>
      <c r="E16" s="190" t="s">
        <v>682</v>
      </c>
      <c r="F16" s="1159">
        <v>2</v>
      </c>
      <c r="G16" s="1159"/>
      <c r="H16" s="686">
        <v>1245.4499999999998</v>
      </c>
      <c r="I16" s="188">
        <f t="shared" si="0"/>
        <v>2490.8999999999996</v>
      </c>
    </row>
    <row r="17" spans="1:9" ht="21.75" customHeight="1" x14ac:dyDescent="0.35">
      <c r="A17" s="189" t="s">
        <v>403</v>
      </c>
      <c r="B17" s="1158" t="s">
        <v>694</v>
      </c>
      <c r="C17" s="1158"/>
      <c r="D17" s="1158"/>
      <c r="E17" s="190" t="s">
        <v>695</v>
      </c>
      <c r="F17" s="1176"/>
      <c r="G17" s="1176"/>
      <c r="H17" s="686">
        <v>5750</v>
      </c>
      <c r="I17" s="188">
        <f t="shared" si="0"/>
        <v>0</v>
      </c>
    </row>
    <row r="18" spans="1:9" x14ac:dyDescent="0.35">
      <c r="A18" s="189" t="s">
        <v>167</v>
      </c>
      <c r="B18" s="1160" t="s">
        <v>817</v>
      </c>
      <c r="C18" s="1160"/>
      <c r="D18" s="1160"/>
      <c r="E18" s="190" t="s">
        <v>682</v>
      </c>
      <c r="F18" s="1174">
        <v>2</v>
      </c>
      <c r="G18" s="1175"/>
      <c r="H18" s="686">
        <v>4732.7099999999991</v>
      </c>
      <c r="I18" s="188">
        <f t="shared" si="0"/>
        <v>9465.4199999999983</v>
      </c>
    </row>
    <row r="19" spans="1:9" x14ac:dyDescent="0.35">
      <c r="A19" s="189" t="s">
        <v>696</v>
      </c>
      <c r="B19" s="1160" t="s">
        <v>697</v>
      </c>
      <c r="C19" s="1160"/>
      <c r="D19" s="1160"/>
      <c r="E19" s="190" t="s">
        <v>682</v>
      </c>
      <c r="F19" s="1174">
        <v>1</v>
      </c>
      <c r="G19" s="1175"/>
      <c r="H19" s="686">
        <v>2117.2649999999999</v>
      </c>
      <c r="I19" s="188">
        <f t="shared" si="0"/>
        <v>2117.2649999999999</v>
      </c>
    </row>
    <row r="20" spans="1:9" x14ac:dyDescent="0.35">
      <c r="A20" s="189" t="s">
        <v>698</v>
      </c>
      <c r="B20" s="1160" t="s">
        <v>699</v>
      </c>
      <c r="C20" s="1160"/>
      <c r="D20" s="1160"/>
      <c r="E20" s="190" t="s">
        <v>682</v>
      </c>
      <c r="F20" s="1174">
        <v>3</v>
      </c>
      <c r="G20" s="1175"/>
      <c r="H20" s="686">
        <v>2117.2649999999999</v>
      </c>
      <c r="I20" s="188">
        <f t="shared" si="0"/>
        <v>6351.7950000000001</v>
      </c>
    </row>
    <row r="21" spans="1:9" x14ac:dyDescent="0.35">
      <c r="A21" s="189" t="s">
        <v>700</v>
      </c>
      <c r="B21" s="1160" t="s">
        <v>701</v>
      </c>
      <c r="C21" s="1160"/>
      <c r="D21" s="1160"/>
      <c r="E21" s="190" t="s">
        <v>682</v>
      </c>
      <c r="F21" s="1174">
        <v>8</v>
      </c>
      <c r="G21" s="1175"/>
      <c r="H21" s="686">
        <v>328.79649999999998</v>
      </c>
      <c r="I21" s="188">
        <f t="shared" si="0"/>
        <v>2630.3719999999998</v>
      </c>
    </row>
    <row r="22" spans="1:9" x14ac:dyDescent="0.35">
      <c r="A22" s="189" t="s">
        <v>702</v>
      </c>
      <c r="B22" s="1160" t="s">
        <v>703</v>
      </c>
      <c r="C22" s="1160"/>
      <c r="D22" s="1160"/>
      <c r="E22" s="190" t="s">
        <v>682</v>
      </c>
      <c r="F22" s="1174">
        <v>22</v>
      </c>
      <c r="G22" s="1175"/>
      <c r="H22" s="686">
        <v>56.050999999999995</v>
      </c>
      <c r="I22" s="188">
        <f t="shared" si="0"/>
        <v>1233.1219999999998</v>
      </c>
    </row>
    <row r="23" spans="1:9" x14ac:dyDescent="0.35">
      <c r="A23" s="189" t="s">
        <v>704</v>
      </c>
      <c r="B23" s="1160" t="s">
        <v>705</v>
      </c>
      <c r="C23" s="1160"/>
      <c r="D23" s="1160"/>
      <c r="E23" s="190" t="s">
        <v>682</v>
      </c>
      <c r="F23" s="1174">
        <v>3</v>
      </c>
      <c r="G23" s="1175"/>
      <c r="H23" s="686">
        <v>373.63499999999993</v>
      </c>
      <c r="I23" s="188">
        <f t="shared" si="0"/>
        <v>1120.9049999999997</v>
      </c>
    </row>
    <row r="24" spans="1:9" x14ac:dyDescent="0.35">
      <c r="A24" s="189" t="s">
        <v>706</v>
      </c>
      <c r="B24" s="1160" t="s">
        <v>707</v>
      </c>
      <c r="C24" s="1160"/>
      <c r="D24" s="1160"/>
      <c r="E24" s="190" t="s">
        <v>682</v>
      </c>
      <c r="F24" s="1174">
        <v>1</v>
      </c>
      <c r="G24" s="1175"/>
      <c r="H24" s="686">
        <v>672.54300000000001</v>
      </c>
      <c r="I24" s="188">
        <f t="shared" si="0"/>
        <v>672.54300000000001</v>
      </c>
    </row>
    <row r="25" spans="1:9" x14ac:dyDescent="0.35">
      <c r="A25" s="189" t="s">
        <v>708</v>
      </c>
      <c r="B25" s="1160" t="s">
        <v>709</v>
      </c>
      <c r="C25" s="1160"/>
      <c r="D25" s="1160"/>
      <c r="E25" s="190" t="s">
        <v>682</v>
      </c>
      <c r="F25" s="1174">
        <v>1</v>
      </c>
      <c r="G25" s="1175"/>
      <c r="H25" s="686">
        <v>1369.9949999999999</v>
      </c>
      <c r="I25" s="188">
        <f t="shared" si="0"/>
        <v>1369.9949999999999</v>
      </c>
    </row>
    <row r="26" spans="1:9" x14ac:dyDescent="0.35">
      <c r="A26" s="189" t="s">
        <v>710</v>
      </c>
      <c r="B26" s="1160" t="s">
        <v>711</v>
      </c>
      <c r="C26" s="1160"/>
      <c r="D26" s="1160"/>
      <c r="E26" s="190" t="s">
        <v>682</v>
      </c>
      <c r="F26" s="1174">
        <v>20</v>
      </c>
      <c r="G26" s="1175"/>
      <c r="H26" s="686">
        <v>2966.9999999999995</v>
      </c>
      <c r="I26" s="188">
        <f t="shared" si="0"/>
        <v>59339.999999999993</v>
      </c>
    </row>
    <row r="27" spans="1:9" x14ac:dyDescent="0.35">
      <c r="A27" s="189" t="s">
        <v>712</v>
      </c>
      <c r="B27" s="1160" t="s">
        <v>713</v>
      </c>
      <c r="C27" s="1160"/>
      <c r="D27" s="1160"/>
      <c r="E27" s="190" t="s">
        <v>682</v>
      </c>
      <c r="F27" s="1174">
        <v>15</v>
      </c>
      <c r="G27" s="1175"/>
      <c r="H27" s="686">
        <v>311.36249999999995</v>
      </c>
      <c r="I27" s="188">
        <f t="shared" si="0"/>
        <v>4670.4374999999991</v>
      </c>
    </row>
    <row r="28" spans="1:9" x14ac:dyDescent="0.35">
      <c r="A28" s="189" t="s">
        <v>714</v>
      </c>
      <c r="B28" s="1160" t="s">
        <v>715</v>
      </c>
      <c r="C28" s="1160"/>
      <c r="D28" s="1160"/>
      <c r="E28" s="190" t="s">
        <v>682</v>
      </c>
      <c r="F28" s="1174">
        <v>2</v>
      </c>
      <c r="G28" s="1175"/>
      <c r="H28" s="686">
        <v>8095.4249999999993</v>
      </c>
      <c r="I28" s="188">
        <f t="shared" si="0"/>
        <v>16190.849999999999</v>
      </c>
    </row>
    <row r="29" spans="1:9" x14ac:dyDescent="0.35">
      <c r="A29" s="189" t="s">
        <v>716</v>
      </c>
      <c r="B29" s="1160" t="s">
        <v>717</v>
      </c>
      <c r="C29" s="1160"/>
      <c r="D29" s="1160"/>
      <c r="E29" s="190" t="s">
        <v>682</v>
      </c>
      <c r="F29" s="1174">
        <v>2</v>
      </c>
      <c r="G29" s="1175"/>
      <c r="H29" s="686">
        <v>1805.9024999999997</v>
      </c>
      <c r="I29" s="188">
        <f t="shared" si="0"/>
        <v>3611.8049999999994</v>
      </c>
    </row>
    <row r="30" spans="1:9" x14ac:dyDescent="0.35">
      <c r="A30" s="189" t="s">
        <v>718</v>
      </c>
      <c r="B30" s="1160" t="s">
        <v>719</v>
      </c>
      <c r="C30" s="1160"/>
      <c r="D30" s="1160"/>
      <c r="E30" s="190" t="s">
        <v>695</v>
      </c>
      <c r="F30" s="1174">
        <v>4</v>
      </c>
      <c r="G30" s="1175"/>
      <c r="H30" s="686">
        <v>28.6465</v>
      </c>
      <c r="I30" s="188">
        <f t="shared" si="0"/>
        <v>114.586</v>
      </c>
    </row>
    <row r="31" spans="1:9" x14ac:dyDescent="0.35">
      <c r="A31" s="189" t="s">
        <v>720</v>
      </c>
      <c r="B31" s="1160" t="s">
        <v>721</v>
      </c>
      <c r="C31" s="1160"/>
      <c r="D31" s="1160"/>
      <c r="E31" s="190" t="s">
        <v>682</v>
      </c>
      <c r="F31" s="1174">
        <v>3</v>
      </c>
      <c r="G31" s="1175"/>
      <c r="H31" s="686">
        <v>448.36199999999997</v>
      </c>
      <c r="I31" s="188">
        <f t="shared" si="0"/>
        <v>1345.0859999999998</v>
      </c>
    </row>
    <row r="32" spans="1:9" x14ac:dyDescent="0.35">
      <c r="A32" s="189" t="s">
        <v>722</v>
      </c>
      <c r="B32" s="1160" t="s">
        <v>723</v>
      </c>
      <c r="C32" s="1160"/>
      <c r="D32" s="1160"/>
      <c r="E32" s="190" t="s">
        <v>682</v>
      </c>
      <c r="F32" s="1174">
        <v>4</v>
      </c>
      <c r="G32" s="1175"/>
      <c r="H32" s="686">
        <v>311.36249999999995</v>
      </c>
      <c r="I32" s="188">
        <f t="shared" si="0"/>
        <v>1245.4499999999998</v>
      </c>
    </row>
    <row r="33" spans="1:9" x14ac:dyDescent="0.35">
      <c r="A33" s="189" t="s">
        <v>724</v>
      </c>
      <c r="B33" s="1160" t="s">
        <v>725</v>
      </c>
      <c r="C33" s="1160"/>
      <c r="D33" s="1160"/>
      <c r="E33" s="190" t="s">
        <v>682</v>
      </c>
      <c r="F33" s="1174">
        <v>2</v>
      </c>
      <c r="G33" s="1175"/>
      <c r="H33" s="686">
        <v>3113.6249999999995</v>
      </c>
      <c r="I33" s="188">
        <f t="shared" si="0"/>
        <v>6227.2499999999991</v>
      </c>
    </row>
    <row r="34" spans="1:9" x14ac:dyDescent="0.35">
      <c r="A34" s="189" t="s">
        <v>726</v>
      </c>
      <c r="B34" s="1160" t="s">
        <v>727</v>
      </c>
      <c r="C34" s="1160"/>
      <c r="D34" s="1160"/>
      <c r="E34" s="190" t="s">
        <v>682</v>
      </c>
      <c r="F34" s="1174">
        <v>4</v>
      </c>
      <c r="G34" s="1175"/>
      <c r="H34" s="686">
        <v>3586.8959999999997</v>
      </c>
      <c r="I34" s="188">
        <f t="shared" si="0"/>
        <v>14347.583999999999</v>
      </c>
    </row>
    <row r="35" spans="1:9" ht="15" thickBot="1" x14ac:dyDescent="0.4">
      <c r="A35" s="191" t="s">
        <v>728</v>
      </c>
      <c r="B35" s="192"/>
      <c r="C35" s="192"/>
      <c r="D35" s="192"/>
      <c r="E35" s="193"/>
      <c r="F35" s="193"/>
      <c r="G35" s="193"/>
      <c r="H35" s="687"/>
      <c r="I35" s="194"/>
    </row>
    <row r="36" spans="1:9" ht="15" thickBot="1" x14ac:dyDescent="0.4">
      <c r="A36" s="195" t="s">
        <v>729</v>
      </c>
      <c r="B36" s="196"/>
      <c r="C36" s="196"/>
      <c r="D36" s="196"/>
      <c r="E36" s="197"/>
      <c r="F36" s="197"/>
      <c r="G36" s="197"/>
      <c r="H36" s="688"/>
      <c r="I36" s="198"/>
    </row>
    <row r="37" spans="1:9" x14ac:dyDescent="0.35">
      <c r="A37" s="186" t="s">
        <v>30</v>
      </c>
      <c r="B37" s="1177" t="s">
        <v>681</v>
      </c>
      <c r="C37" s="1177"/>
      <c r="D37" s="1177"/>
      <c r="E37" s="187" t="s">
        <v>682</v>
      </c>
      <c r="F37" s="1178">
        <v>2</v>
      </c>
      <c r="G37" s="1178"/>
      <c r="H37" s="689">
        <v>3861.1249999999995</v>
      </c>
      <c r="I37" s="188">
        <f t="shared" ref="I37:I52" si="1">F37*H37</f>
        <v>7722.2499999999991</v>
      </c>
    </row>
    <row r="38" spans="1:9" x14ac:dyDescent="0.35">
      <c r="A38" s="189" t="s">
        <v>32</v>
      </c>
      <c r="B38" s="1158" t="s">
        <v>730</v>
      </c>
      <c r="C38" s="1158"/>
      <c r="D38" s="1158"/>
      <c r="E38" s="190" t="s">
        <v>682</v>
      </c>
      <c r="F38" s="1159">
        <v>1</v>
      </c>
      <c r="G38" s="1159"/>
      <c r="H38" s="686">
        <v>1245.4499999999998</v>
      </c>
      <c r="I38" s="188">
        <f t="shared" si="1"/>
        <v>1245.4499999999998</v>
      </c>
    </row>
    <row r="39" spans="1:9" x14ac:dyDescent="0.35">
      <c r="A39" s="189" t="s">
        <v>34</v>
      </c>
      <c r="B39" s="1158" t="s">
        <v>731</v>
      </c>
      <c r="C39" s="1158"/>
      <c r="D39" s="1158"/>
      <c r="E39" s="190" t="s">
        <v>682</v>
      </c>
      <c r="F39" s="1159">
        <v>10</v>
      </c>
      <c r="G39" s="1159"/>
      <c r="H39" s="686">
        <v>311.36249999999995</v>
      </c>
      <c r="I39" s="188">
        <f t="shared" si="1"/>
        <v>3113.6249999999995</v>
      </c>
    </row>
    <row r="40" spans="1:9" x14ac:dyDescent="0.35">
      <c r="A40" s="189" t="s">
        <v>227</v>
      </c>
      <c r="B40" s="1158" t="s">
        <v>684</v>
      </c>
      <c r="C40" s="1158"/>
      <c r="D40" s="1158"/>
      <c r="E40" s="190" t="s">
        <v>682</v>
      </c>
      <c r="F40" s="1159">
        <v>2</v>
      </c>
      <c r="G40" s="1159"/>
      <c r="H40" s="686">
        <v>3736.35</v>
      </c>
      <c r="I40" s="188">
        <f t="shared" si="1"/>
        <v>7472.7</v>
      </c>
    </row>
    <row r="41" spans="1:9" x14ac:dyDescent="0.35">
      <c r="A41" s="189" t="s">
        <v>300</v>
      </c>
      <c r="B41" s="1158" t="s">
        <v>732</v>
      </c>
      <c r="C41" s="1158"/>
      <c r="D41" s="1158"/>
      <c r="E41" s="190" t="s">
        <v>682</v>
      </c>
      <c r="F41" s="1159">
        <v>1</v>
      </c>
      <c r="G41" s="1159"/>
      <c r="H41" s="686">
        <v>3736.35</v>
      </c>
      <c r="I41" s="188">
        <f t="shared" si="1"/>
        <v>3736.35</v>
      </c>
    </row>
    <row r="42" spans="1:9" x14ac:dyDescent="0.35">
      <c r="A42" s="189" t="s">
        <v>302</v>
      </c>
      <c r="B42" s="1158" t="s">
        <v>733</v>
      </c>
      <c r="C42" s="1158"/>
      <c r="D42" s="1158"/>
      <c r="E42" s="190" t="s">
        <v>682</v>
      </c>
      <c r="F42" s="1159">
        <v>8</v>
      </c>
      <c r="G42" s="1159"/>
      <c r="H42" s="686">
        <v>124.54499999999999</v>
      </c>
      <c r="I42" s="188">
        <f t="shared" si="1"/>
        <v>996.3599999999999</v>
      </c>
    </row>
    <row r="43" spans="1:9" x14ac:dyDescent="0.35">
      <c r="A43" s="189" t="s">
        <v>36</v>
      </c>
      <c r="B43" s="1158" t="s">
        <v>734</v>
      </c>
      <c r="C43" s="1158"/>
      <c r="D43" s="1158"/>
      <c r="E43" s="190" t="s">
        <v>682</v>
      </c>
      <c r="F43" s="1159">
        <v>1</v>
      </c>
      <c r="G43" s="1159"/>
      <c r="H43" s="686">
        <v>9963.5999999999985</v>
      </c>
      <c r="I43" s="188">
        <f t="shared" si="1"/>
        <v>9963.5999999999985</v>
      </c>
    </row>
    <row r="44" spans="1:9" x14ac:dyDescent="0.35">
      <c r="A44" s="189" t="s">
        <v>305</v>
      </c>
      <c r="B44" s="1158" t="s">
        <v>735</v>
      </c>
      <c r="C44" s="1158"/>
      <c r="D44" s="1158"/>
      <c r="E44" s="190" t="s">
        <v>682</v>
      </c>
      <c r="F44" s="1159">
        <v>2</v>
      </c>
      <c r="G44" s="1159"/>
      <c r="H44" s="686">
        <v>249.08999999999997</v>
      </c>
      <c r="I44" s="188">
        <f t="shared" si="1"/>
        <v>498.17999999999995</v>
      </c>
    </row>
    <row r="45" spans="1:9" x14ac:dyDescent="0.35">
      <c r="A45" s="189" t="s">
        <v>310</v>
      </c>
      <c r="B45" s="1158" t="s">
        <v>693</v>
      </c>
      <c r="C45" s="1158"/>
      <c r="D45" s="1158"/>
      <c r="E45" s="190" t="s">
        <v>682</v>
      </c>
      <c r="F45" s="1159">
        <v>1</v>
      </c>
      <c r="G45" s="1159"/>
      <c r="H45" s="686">
        <v>3736.35</v>
      </c>
      <c r="I45" s="188">
        <f t="shared" si="1"/>
        <v>3736.35</v>
      </c>
    </row>
    <row r="46" spans="1:9" x14ac:dyDescent="0.35">
      <c r="A46" s="189" t="s">
        <v>311</v>
      </c>
      <c r="B46" s="1160" t="s">
        <v>818</v>
      </c>
      <c r="C46" s="1160"/>
      <c r="D46" s="1160"/>
      <c r="E46" s="190" t="s">
        <v>682</v>
      </c>
      <c r="F46" s="1174">
        <v>3</v>
      </c>
      <c r="G46" s="1175"/>
      <c r="H46" s="686">
        <v>5031.6179999999995</v>
      </c>
      <c r="I46" s="188">
        <f t="shared" si="1"/>
        <v>15094.853999999999</v>
      </c>
    </row>
    <row r="47" spans="1:9" x14ac:dyDescent="0.35">
      <c r="A47" s="189" t="s">
        <v>312</v>
      </c>
      <c r="B47" s="1160" t="s">
        <v>736</v>
      </c>
      <c r="C47" s="1160"/>
      <c r="D47" s="1160"/>
      <c r="E47" s="190" t="s">
        <v>682</v>
      </c>
      <c r="F47" s="1174">
        <v>1</v>
      </c>
      <c r="G47" s="1175"/>
      <c r="H47" s="686">
        <v>2241.81</v>
      </c>
      <c r="I47" s="188">
        <f t="shared" si="1"/>
        <v>2241.81</v>
      </c>
    </row>
    <row r="48" spans="1:9" x14ac:dyDescent="0.35">
      <c r="A48" s="189" t="s">
        <v>401</v>
      </c>
      <c r="B48" s="1160" t="s">
        <v>701</v>
      </c>
      <c r="C48" s="1160"/>
      <c r="D48" s="1160"/>
      <c r="E48" s="190" t="s">
        <v>682</v>
      </c>
      <c r="F48" s="1174">
        <v>4</v>
      </c>
      <c r="G48" s="1175"/>
      <c r="H48" s="686">
        <v>560.45249999999999</v>
      </c>
      <c r="I48" s="188">
        <f t="shared" si="1"/>
        <v>2241.81</v>
      </c>
    </row>
    <row r="49" spans="1:9" x14ac:dyDescent="0.35">
      <c r="A49" s="189" t="s">
        <v>403</v>
      </c>
      <c r="B49" s="1160" t="s">
        <v>737</v>
      </c>
      <c r="C49" s="1160"/>
      <c r="D49" s="1160"/>
      <c r="E49" s="190" t="s">
        <v>682</v>
      </c>
      <c r="F49" s="1174">
        <v>6</v>
      </c>
      <c r="G49" s="1175"/>
      <c r="H49" s="686">
        <v>5293.1624999999995</v>
      </c>
      <c r="I49" s="188">
        <f t="shared" si="1"/>
        <v>31758.974999999999</v>
      </c>
    </row>
    <row r="50" spans="1:9" x14ac:dyDescent="0.35">
      <c r="A50" s="189" t="s">
        <v>167</v>
      </c>
      <c r="B50" s="1160" t="s">
        <v>738</v>
      </c>
      <c r="C50" s="1160"/>
      <c r="D50" s="1160"/>
      <c r="E50" s="190" t="s">
        <v>682</v>
      </c>
      <c r="F50" s="1174">
        <v>12</v>
      </c>
      <c r="G50" s="1175"/>
      <c r="H50" s="686">
        <v>9826.5889999999999</v>
      </c>
      <c r="I50" s="188">
        <f t="shared" si="1"/>
        <v>117919.068</v>
      </c>
    </row>
    <row r="51" spans="1:9" x14ac:dyDescent="0.35">
      <c r="A51" s="189" t="s">
        <v>696</v>
      </c>
      <c r="B51" s="1160" t="s">
        <v>739</v>
      </c>
      <c r="C51" s="1160"/>
      <c r="D51" s="1160"/>
      <c r="E51" s="190" t="s">
        <v>682</v>
      </c>
      <c r="F51" s="1174">
        <v>1</v>
      </c>
      <c r="G51" s="1175"/>
      <c r="H51" s="686">
        <v>11209.05</v>
      </c>
      <c r="I51" s="188">
        <f t="shared" si="1"/>
        <v>11209.05</v>
      </c>
    </row>
    <row r="52" spans="1:9" ht="15" thickBot="1" x14ac:dyDescent="0.4">
      <c r="A52" s="199" t="s">
        <v>698</v>
      </c>
      <c r="B52" s="1179" t="s">
        <v>740</v>
      </c>
      <c r="C52" s="1179"/>
      <c r="D52" s="1179"/>
      <c r="E52" s="200" t="s">
        <v>682</v>
      </c>
      <c r="F52" s="1180">
        <v>2</v>
      </c>
      <c r="G52" s="1181"/>
      <c r="H52" s="690">
        <v>8344.5149999999994</v>
      </c>
      <c r="I52" s="188">
        <f t="shared" si="1"/>
        <v>16689.03</v>
      </c>
    </row>
    <row r="53" spans="1:9" ht="15" thickBot="1" x14ac:dyDescent="0.4">
      <c r="A53" s="201"/>
      <c r="B53" s="1182" t="s">
        <v>741</v>
      </c>
      <c r="C53" s="1182"/>
      <c r="D53" s="1182"/>
      <c r="E53" s="202"/>
      <c r="F53" s="1183"/>
      <c r="G53" s="1184"/>
      <c r="H53" s="691"/>
      <c r="I53" s="198"/>
    </row>
    <row r="54" spans="1:9" x14ac:dyDescent="0.35">
      <c r="A54" s="186" t="s">
        <v>30</v>
      </c>
      <c r="B54" s="1185" t="s">
        <v>742</v>
      </c>
      <c r="C54" s="1185"/>
      <c r="D54" s="1185"/>
      <c r="E54" s="187" t="s">
        <v>682</v>
      </c>
      <c r="F54" s="1186">
        <v>7</v>
      </c>
      <c r="G54" s="1187"/>
      <c r="H54" s="692">
        <v>4732.7099999999991</v>
      </c>
      <c r="I54" s="188">
        <f t="shared" ref="I54:I63" si="2">F54*H54</f>
        <v>33128.969999999994</v>
      </c>
    </row>
    <row r="55" spans="1:9" x14ac:dyDescent="0.35">
      <c r="A55" s="189" t="s">
        <v>32</v>
      </c>
      <c r="B55" s="1158" t="s">
        <v>735</v>
      </c>
      <c r="C55" s="1158"/>
      <c r="D55" s="1158"/>
      <c r="E55" s="190" t="s">
        <v>682</v>
      </c>
      <c r="F55" s="1174">
        <v>1</v>
      </c>
      <c r="G55" s="1175"/>
      <c r="H55" s="686">
        <v>249.08999999999997</v>
      </c>
      <c r="I55" s="188">
        <f t="shared" si="2"/>
        <v>249.08999999999997</v>
      </c>
    </row>
    <row r="56" spans="1:9" x14ac:dyDescent="0.35">
      <c r="A56" s="189" t="s">
        <v>34</v>
      </c>
      <c r="B56" s="1160" t="s">
        <v>701</v>
      </c>
      <c r="C56" s="1160"/>
      <c r="D56" s="1160"/>
      <c r="E56" s="190" t="s">
        <v>682</v>
      </c>
      <c r="F56" s="1174">
        <v>2</v>
      </c>
      <c r="G56" s="1175"/>
      <c r="H56" s="686">
        <v>460.81649999999996</v>
      </c>
      <c r="I56" s="188">
        <f t="shared" si="2"/>
        <v>921.63299999999992</v>
      </c>
    </row>
    <row r="57" spans="1:9" x14ac:dyDescent="0.35">
      <c r="A57" s="189" t="s">
        <v>227</v>
      </c>
      <c r="B57" s="1160" t="s">
        <v>703</v>
      </c>
      <c r="C57" s="1160"/>
      <c r="D57" s="1160"/>
      <c r="E57" s="190" t="s">
        <v>682</v>
      </c>
      <c r="F57" s="1174">
        <v>8</v>
      </c>
      <c r="G57" s="1175"/>
      <c r="H57" s="686">
        <v>56.050999999999995</v>
      </c>
      <c r="I57" s="188">
        <f t="shared" si="2"/>
        <v>448.40799999999996</v>
      </c>
    </row>
    <row r="58" spans="1:9" x14ac:dyDescent="0.35">
      <c r="A58" s="189" t="s">
        <v>300</v>
      </c>
      <c r="B58" s="1160" t="s">
        <v>743</v>
      </c>
      <c r="C58" s="1160"/>
      <c r="D58" s="1160"/>
      <c r="E58" s="190" t="s">
        <v>682</v>
      </c>
      <c r="F58" s="1174">
        <v>8</v>
      </c>
      <c r="G58" s="1175"/>
      <c r="H58" s="686">
        <v>448.36199999999997</v>
      </c>
      <c r="I58" s="188">
        <f t="shared" si="2"/>
        <v>3586.8959999999997</v>
      </c>
    </row>
    <row r="59" spans="1:9" x14ac:dyDescent="0.35">
      <c r="A59" s="189" t="s">
        <v>302</v>
      </c>
      <c r="B59" s="1160" t="s">
        <v>719</v>
      </c>
      <c r="C59" s="1160"/>
      <c r="D59" s="1160"/>
      <c r="E59" s="190" t="s">
        <v>682</v>
      </c>
      <c r="F59" s="1174">
        <v>8</v>
      </c>
      <c r="G59" s="1175"/>
      <c r="H59" s="686">
        <v>28.6465</v>
      </c>
      <c r="I59" s="188">
        <f t="shared" si="2"/>
        <v>229.172</v>
      </c>
    </row>
    <row r="60" spans="1:9" x14ac:dyDescent="0.35">
      <c r="A60" s="189" t="s">
        <v>36</v>
      </c>
      <c r="B60" s="1158" t="s">
        <v>684</v>
      </c>
      <c r="C60" s="1158"/>
      <c r="D60" s="1158"/>
      <c r="E60" s="190" t="s">
        <v>682</v>
      </c>
      <c r="F60" s="1174">
        <v>1</v>
      </c>
      <c r="G60" s="1175"/>
      <c r="H60" s="686">
        <v>4732.7099999999991</v>
      </c>
      <c r="I60" s="188">
        <f t="shared" si="2"/>
        <v>4732.7099999999991</v>
      </c>
    </row>
    <row r="61" spans="1:9" x14ac:dyDescent="0.35">
      <c r="A61" s="189" t="s">
        <v>305</v>
      </c>
      <c r="B61" s="1160" t="s">
        <v>736</v>
      </c>
      <c r="C61" s="1160"/>
      <c r="D61" s="1160"/>
      <c r="E61" s="190" t="s">
        <v>682</v>
      </c>
      <c r="F61" s="1174">
        <v>1</v>
      </c>
      <c r="G61" s="1175"/>
      <c r="H61" s="686">
        <v>2241.81</v>
      </c>
      <c r="I61" s="188">
        <f t="shared" si="2"/>
        <v>2241.81</v>
      </c>
    </row>
    <row r="62" spans="1:9" x14ac:dyDescent="0.35">
      <c r="A62" s="189" t="s">
        <v>310</v>
      </c>
      <c r="B62" s="1160" t="s">
        <v>717</v>
      </c>
      <c r="C62" s="1160"/>
      <c r="D62" s="1160"/>
      <c r="E62" s="190" t="s">
        <v>682</v>
      </c>
      <c r="F62" s="1174">
        <v>1</v>
      </c>
      <c r="G62" s="1175"/>
      <c r="H62" s="686">
        <v>373.63499999999993</v>
      </c>
      <c r="I62" s="188">
        <f t="shared" si="2"/>
        <v>373.63499999999993</v>
      </c>
    </row>
    <row r="63" spans="1:9" x14ac:dyDescent="0.35">
      <c r="A63" s="190" t="s">
        <v>311</v>
      </c>
      <c r="B63" s="1158" t="s">
        <v>681</v>
      </c>
      <c r="C63" s="1158"/>
      <c r="D63" s="1158"/>
      <c r="E63" s="190" t="s">
        <v>682</v>
      </c>
      <c r="F63" s="1159">
        <v>1</v>
      </c>
      <c r="G63" s="1159"/>
      <c r="H63" s="693">
        <v>3860.895</v>
      </c>
      <c r="I63" s="188">
        <f t="shared" si="2"/>
        <v>3860.895</v>
      </c>
    </row>
    <row r="64" spans="1:9" x14ac:dyDescent="0.35">
      <c r="I64" s="289" t="s">
        <v>937</v>
      </c>
    </row>
    <row r="65" spans="1:9" x14ac:dyDescent="0.35">
      <c r="B65" s="246" t="s">
        <v>815</v>
      </c>
      <c r="H65" s="286" t="s">
        <v>1266</v>
      </c>
      <c r="I65" s="245">
        <f>SUM(I4:I64)</f>
        <v>490487.88</v>
      </c>
    </row>
    <row r="67" spans="1:9" x14ac:dyDescent="0.35">
      <c r="A67" t="s">
        <v>1267</v>
      </c>
    </row>
    <row r="69" spans="1:9" x14ac:dyDescent="0.35">
      <c r="B69" t="s">
        <v>10</v>
      </c>
      <c r="E69" t="s">
        <v>1175</v>
      </c>
    </row>
  </sheetData>
  <mergeCells count="119">
    <mergeCell ref="B56:D56"/>
    <mergeCell ref="F56:G56"/>
    <mergeCell ref="B57:D57"/>
    <mergeCell ref="F57:G57"/>
    <mergeCell ref="B58:D58"/>
    <mergeCell ref="F58:G58"/>
    <mergeCell ref="B53:D53"/>
    <mergeCell ref="F53:G53"/>
    <mergeCell ref="B54:D54"/>
    <mergeCell ref="F54:G54"/>
    <mergeCell ref="B55:D55"/>
    <mergeCell ref="F55:G55"/>
    <mergeCell ref="B62:D62"/>
    <mergeCell ref="F62:G62"/>
    <mergeCell ref="B63:D63"/>
    <mergeCell ref="F63:G63"/>
    <mergeCell ref="B59:D59"/>
    <mergeCell ref="F59:G59"/>
    <mergeCell ref="B60:D60"/>
    <mergeCell ref="F60:G60"/>
    <mergeCell ref="B61:D61"/>
    <mergeCell ref="F61:G61"/>
    <mergeCell ref="B50:D50"/>
    <mergeCell ref="F50:G50"/>
    <mergeCell ref="B51:D51"/>
    <mergeCell ref="F51:G51"/>
    <mergeCell ref="B52:D52"/>
    <mergeCell ref="F52:G52"/>
    <mergeCell ref="B47:D47"/>
    <mergeCell ref="F47:G47"/>
    <mergeCell ref="B48:D48"/>
    <mergeCell ref="F48:G48"/>
    <mergeCell ref="B49:D49"/>
    <mergeCell ref="F49:G49"/>
    <mergeCell ref="B44:D44"/>
    <mergeCell ref="F44:G44"/>
    <mergeCell ref="B45:D45"/>
    <mergeCell ref="F45:G45"/>
    <mergeCell ref="B46:D46"/>
    <mergeCell ref="F46:G46"/>
    <mergeCell ref="B41:D41"/>
    <mergeCell ref="F41:G41"/>
    <mergeCell ref="B42:D42"/>
    <mergeCell ref="F42:G42"/>
    <mergeCell ref="B43:D43"/>
    <mergeCell ref="F43:G43"/>
    <mergeCell ref="B38:D38"/>
    <mergeCell ref="F38:G38"/>
    <mergeCell ref="B39:D39"/>
    <mergeCell ref="F39:G39"/>
    <mergeCell ref="B40:D40"/>
    <mergeCell ref="F40:G40"/>
    <mergeCell ref="B33:D33"/>
    <mergeCell ref="F33:G33"/>
    <mergeCell ref="B34:D34"/>
    <mergeCell ref="F34:G34"/>
    <mergeCell ref="B37:D37"/>
    <mergeCell ref="F37:G37"/>
    <mergeCell ref="B30:D30"/>
    <mergeCell ref="F30:G30"/>
    <mergeCell ref="B31:D31"/>
    <mergeCell ref="F31:G31"/>
    <mergeCell ref="B32:D32"/>
    <mergeCell ref="F32:G32"/>
    <mergeCell ref="B27:D27"/>
    <mergeCell ref="F27:G27"/>
    <mergeCell ref="B28:D28"/>
    <mergeCell ref="F28:G28"/>
    <mergeCell ref="B29:D29"/>
    <mergeCell ref="F29:G29"/>
    <mergeCell ref="B24:D24"/>
    <mergeCell ref="F24:G24"/>
    <mergeCell ref="B25:D25"/>
    <mergeCell ref="F25:G25"/>
    <mergeCell ref="B26:D26"/>
    <mergeCell ref="F26:G26"/>
    <mergeCell ref="B21:D21"/>
    <mergeCell ref="F21:G21"/>
    <mergeCell ref="B22:D22"/>
    <mergeCell ref="F22:G22"/>
    <mergeCell ref="B23:D23"/>
    <mergeCell ref="F23:G23"/>
    <mergeCell ref="B18:D18"/>
    <mergeCell ref="F18:G18"/>
    <mergeCell ref="B19:D19"/>
    <mergeCell ref="F19:G19"/>
    <mergeCell ref="B20:D20"/>
    <mergeCell ref="F20:G20"/>
    <mergeCell ref="B15:D15"/>
    <mergeCell ref="F15:G15"/>
    <mergeCell ref="B16:D16"/>
    <mergeCell ref="F16:G16"/>
    <mergeCell ref="B17:D17"/>
    <mergeCell ref="F17:G17"/>
    <mergeCell ref="B12:D12"/>
    <mergeCell ref="F12:G12"/>
    <mergeCell ref="B13:D13"/>
    <mergeCell ref="F13:G13"/>
    <mergeCell ref="B14:D14"/>
    <mergeCell ref="F14:G14"/>
    <mergeCell ref="B9:D9"/>
    <mergeCell ref="F9:G9"/>
    <mergeCell ref="B10:D10"/>
    <mergeCell ref="F10:G10"/>
    <mergeCell ref="B11:D11"/>
    <mergeCell ref="F11:G11"/>
    <mergeCell ref="B6:D6"/>
    <mergeCell ref="F6:G6"/>
    <mergeCell ref="B7:D7"/>
    <mergeCell ref="F7:G7"/>
    <mergeCell ref="B8:D8"/>
    <mergeCell ref="F8:G8"/>
    <mergeCell ref="A1:I2"/>
    <mergeCell ref="B3:D3"/>
    <mergeCell ref="F3:G3"/>
    <mergeCell ref="B4:D4"/>
    <mergeCell ref="F4:G4"/>
    <mergeCell ref="F5:G5"/>
    <mergeCell ref="B5:D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workbookViewId="0">
      <selection activeCell="H52" sqref="A1:H52"/>
    </sheetView>
  </sheetViews>
  <sheetFormatPr defaultRowHeight="14.5" x14ac:dyDescent="0.35"/>
  <cols>
    <col min="1" max="1" width="3.7265625" customWidth="1"/>
    <col min="3" max="3" width="27.453125" customWidth="1"/>
    <col min="4" max="4" width="23.54296875" customWidth="1"/>
    <col min="5" max="5" width="7.26953125" customWidth="1"/>
    <col min="7" max="7" width="9.26953125" bestFit="1" customWidth="1"/>
    <col min="8" max="8" width="11.453125" customWidth="1"/>
  </cols>
  <sheetData>
    <row r="1" spans="1:8" ht="15" thickBot="1" x14ac:dyDescent="0.4"/>
    <row r="2" spans="1:8" ht="15" thickBot="1" x14ac:dyDescent="0.4">
      <c r="A2" s="1196" t="s">
        <v>1271</v>
      </c>
      <c r="B2" s="1197"/>
      <c r="C2" s="1197"/>
      <c r="D2" s="1197"/>
      <c r="E2" s="1197"/>
      <c r="F2" s="1198"/>
      <c r="G2" s="1197"/>
      <c r="H2" s="1199"/>
    </row>
    <row r="3" spans="1:8" ht="30" customHeight="1" thickBot="1" x14ac:dyDescent="0.4">
      <c r="A3" s="241"/>
      <c r="B3" s="1200" t="s">
        <v>853</v>
      </c>
      <c r="C3" s="1201"/>
      <c r="D3" s="1202"/>
      <c r="E3" s="576" t="s">
        <v>55</v>
      </c>
      <c r="F3" s="577" t="s">
        <v>86</v>
      </c>
      <c r="G3" s="578" t="s">
        <v>744</v>
      </c>
      <c r="H3" s="579" t="s">
        <v>932</v>
      </c>
    </row>
    <row r="4" spans="1:8" x14ac:dyDescent="0.35">
      <c r="A4" s="44"/>
      <c r="B4" s="1129" t="s">
        <v>826</v>
      </c>
      <c r="C4" s="1129"/>
      <c r="D4" s="1129"/>
      <c r="E4" s="203" t="s">
        <v>207</v>
      </c>
      <c r="F4" s="297">
        <v>20</v>
      </c>
      <c r="G4" s="694">
        <v>1131.5999999999999</v>
      </c>
      <c r="H4" s="297">
        <f t="shared" ref="H4:H47" si="0">F4*G4</f>
        <v>22632</v>
      </c>
    </row>
    <row r="5" spans="1:8" x14ac:dyDescent="0.35">
      <c r="A5" s="44"/>
      <c r="B5" s="1129" t="s">
        <v>827</v>
      </c>
      <c r="C5" s="1129"/>
      <c r="D5" s="1129"/>
      <c r="E5" s="203" t="s">
        <v>207</v>
      </c>
      <c r="F5" s="297">
        <v>32</v>
      </c>
      <c r="G5" s="694">
        <v>402.49999999999994</v>
      </c>
      <c r="H5" s="297">
        <f t="shared" si="0"/>
        <v>12879.999999999998</v>
      </c>
    </row>
    <row r="6" spans="1:8" x14ac:dyDescent="0.35">
      <c r="A6" s="44"/>
      <c r="B6" s="1129" t="s">
        <v>828</v>
      </c>
      <c r="C6" s="1129"/>
      <c r="D6" s="1129"/>
      <c r="E6" s="203" t="s">
        <v>207</v>
      </c>
      <c r="F6" s="297">
        <v>10</v>
      </c>
      <c r="G6" s="694">
        <v>1380</v>
      </c>
      <c r="H6" s="297">
        <f t="shared" si="0"/>
        <v>13800</v>
      </c>
    </row>
    <row r="7" spans="1:8" x14ac:dyDescent="0.35">
      <c r="A7" s="44"/>
      <c r="B7" s="1129" t="s">
        <v>854</v>
      </c>
      <c r="C7" s="1129"/>
      <c r="D7" s="1129"/>
      <c r="E7" s="203" t="s">
        <v>207</v>
      </c>
      <c r="F7" s="297">
        <v>200</v>
      </c>
      <c r="G7" s="694">
        <v>325.45</v>
      </c>
      <c r="H7" s="297">
        <f t="shared" si="0"/>
        <v>65090</v>
      </c>
    </row>
    <row r="8" spans="1:8" x14ac:dyDescent="0.35">
      <c r="A8" s="44"/>
      <c r="B8" s="1195" t="s">
        <v>838</v>
      </c>
      <c r="C8" s="1195"/>
      <c r="D8" s="1195"/>
      <c r="E8" s="108"/>
      <c r="F8" s="108"/>
      <c r="G8" s="694">
        <v>0</v>
      </c>
      <c r="H8" s="108"/>
    </row>
    <row r="9" spans="1:8" x14ac:dyDescent="0.35">
      <c r="A9" s="44"/>
      <c r="B9" s="1129" t="s">
        <v>829</v>
      </c>
      <c r="C9" s="1129"/>
      <c r="D9" s="1129"/>
      <c r="E9" s="203" t="s">
        <v>207</v>
      </c>
      <c r="F9" s="108">
        <v>1</v>
      </c>
      <c r="G9" s="694">
        <v>419.74999999999994</v>
      </c>
      <c r="H9" s="297">
        <f t="shared" si="0"/>
        <v>419.74999999999994</v>
      </c>
    </row>
    <row r="10" spans="1:8" x14ac:dyDescent="0.35">
      <c r="A10" s="44"/>
      <c r="B10" s="1129" t="s">
        <v>839</v>
      </c>
      <c r="C10" s="1129"/>
      <c r="D10" s="1129"/>
      <c r="E10" s="203" t="s">
        <v>207</v>
      </c>
      <c r="F10" s="108">
        <v>2</v>
      </c>
      <c r="G10" s="694">
        <v>2510.4499999999998</v>
      </c>
      <c r="H10" s="297">
        <f t="shared" si="0"/>
        <v>5020.8999999999996</v>
      </c>
    </row>
    <row r="11" spans="1:8" x14ac:dyDescent="0.35">
      <c r="A11" s="44"/>
      <c r="B11" s="1129" t="s">
        <v>840</v>
      </c>
      <c r="C11" s="1129"/>
      <c r="D11" s="1129"/>
      <c r="E11" s="203" t="s">
        <v>207</v>
      </c>
      <c r="F11" s="108">
        <v>15</v>
      </c>
      <c r="G11" s="694">
        <v>2875</v>
      </c>
      <c r="H11" s="297">
        <f t="shared" si="0"/>
        <v>43125</v>
      </c>
    </row>
    <row r="12" spans="1:8" x14ac:dyDescent="0.35">
      <c r="A12" s="44"/>
      <c r="B12" s="1129" t="s">
        <v>830</v>
      </c>
      <c r="C12" s="1129"/>
      <c r="D12" s="1129"/>
      <c r="E12" s="203" t="s">
        <v>207</v>
      </c>
      <c r="F12" s="108">
        <v>6</v>
      </c>
      <c r="G12" s="694">
        <v>1492.6999999999998</v>
      </c>
      <c r="H12" s="297">
        <f t="shared" si="0"/>
        <v>8956.1999999999989</v>
      </c>
    </row>
    <row r="13" spans="1:8" x14ac:dyDescent="0.35">
      <c r="A13" s="44"/>
      <c r="B13" s="1129" t="s">
        <v>831</v>
      </c>
      <c r="C13" s="1129"/>
      <c r="D13" s="1129"/>
      <c r="E13" s="203" t="s">
        <v>207</v>
      </c>
      <c r="F13" s="108">
        <v>2</v>
      </c>
      <c r="G13" s="694">
        <v>339.25</v>
      </c>
      <c r="H13" s="297">
        <f t="shared" si="0"/>
        <v>678.5</v>
      </c>
    </row>
    <row r="14" spans="1:8" x14ac:dyDescent="0.35">
      <c r="A14" s="44"/>
      <c r="B14" s="1129" t="s">
        <v>825</v>
      </c>
      <c r="C14" s="1129"/>
      <c r="D14" s="1129"/>
      <c r="E14" s="203" t="s">
        <v>207</v>
      </c>
      <c r="F14" s="108">
        <v>20</v>
      </c>
      <c r="G14" s="694">
        <v>362.25</v>
      </c>
      <c r="H14" s="297">
        <f t="shared" si="0"/>
        <v>7245</v>
      </c>
    </row>
    <row r="15" spans="1:8" x14ac:dyDescent="0.35">
      <c r="A15" s="44"/>
      <c r="B15" s="1129" t="s">
        <v>826</v>
      </c>
      <c r="C15" s="1129"/>
      <c r="D15" s="1129"/>
      <c r="E15" s="203" t="s">
        <v>207</v>
      </c>
      <c r="F15" s="108">
        <v>4</v>
      </c>
      <c r="G15" s="694">
        <v>1131.5999999999999</v>
      </c>
      <c r="H15" s="297">
        <f t="shared" si="0"/>
        <v>4526.3999999999996</v>
      </c>
    </row>
    <row r="16" spans="1:8" x14ac:dyDescent="0.35">
      <c r="A16" s="44"/>
      <c r="B16" s="1129" t="s">
        <v>832</v>
      </c>
      <c r="C16" s="1129"/>
      <c r="D16" s="1129"/>
      <c r="E16" s="203" t="s">
        <v>207</v>
      </c>
      <c r="F16" s="108">
        <v>12</v>
      </c>
      <c r="G16" s="694">
        <v>172.5</v>
      </c>
      <c r="H16" s="297">
        <f t="shared" si="0"/>
        <v>2070</v>
      </c>
    </row>
    <row r="17" spans="1:8" ht="18" customHeight="1" x14ac:dyDescent="0.35">
      <c r="A17" s="44"/>
      <c r="B17" s="1188" t="s">
        <v>841</v>
      </c>
      <c r="C17" s="1188"/>
      <c r="D17" s="1188"/>
      <c r="E17" s="203" t="s">
        <v>207</v>
      </c>
      <c r="F17" s="108">
        <v>2</v>
      </c>
      <c r="G17" s="694">
        <v>339.25</v>
      </c>
      <c r="H17" s="297">
        <f t="shared" si="0"/>
        <v>678.5</v>
      </c>
    </row>
    <row r="18" spans="1:8" x14ac:dyDescent="0.35">
      <c r="A18" s="44"/>
      <c r="B18" s="1129" t="s">
        <v>833</v>
      </c>
      <c r="C18" s="1129"/>
      <c r="D18" s="1129"/>
      <c r="E18" s="203" t="s">
        <v>207</v>
      </c>
      <c r="F18" s="108">
        <v>1</v>
      </c>
      <c r="G18" s="694">
        <v>9427.6999999999989</v>
      </c>
      <c r="H18" s="297">
        <f t="shared" si="0"/>
        <v>9427.6999999999989</v>
      </c>
    </row>
    <row r="19" spans="1:8" x14ac:dyDescent="0.35">
      <c r="A19" s="44"/>
      <c r="B19" s="1129" t="s">
        <v>834</v>
      </c>
      <c r="C19" s="1129"/>
      <c r="D19" s="1129"/>
      <c r="E19" s="203" t="s">
        <v>207</v>
      </c>
      <c r="F19" s="108">
        <v>100</v>
      </c>
      <c r="G19" s="694">
        <v>332.34999999999997</v>
      </c>
      <c r="H19" s="297">
        <f t="shared" si="0"/>
        <v>33235</v>
      </c>
    </row>
    <row r="20" spans="1:8" x14ac:dyDescent="0.35">
      <c r="A20" s="44"/>
      <c r="B20" s="1129" t="s">
        <v>835</v>
      </c>
      <c r="C20" s="1129"/>
      <c r="D20" s="1129"/>
      <c r="E20" s="203" t="s">
        <v>207</v>
      </c>
      <c r="F20" s="108">
        <v>1</v>
      </c>
      <c r="G20" s="694">
        <v>1380</v>
      </c>
      <c r="H20" s="297">
        <f t="shared" si="0"/>
        <v>1380</v>
      </c>
    </row>
    <row r="21" spans="1:8" x14ac:dyDescent="0.35">
      <c r="A21" s="44"/>
      <c r="B21" s="1191" t="s">
        <v>947</v>
      </c>
      <c r="C21" s="1192"/>
      <c r="D21" s="1193"/>
      <c r="E21" s="203" t="s">
        <v>207</v>
      </c>
      <c r="F21" s="108">
        <v>1</v>
      </c>
      <c r="G21" s="694">
        <v>289800</v>
      </c>
      <c r="H21" s="297">
        <f t="shared" si="0"/>
        <v>289800</v>
      </c>
    </row>
    <row r="22" spans="1:8" x14ac:dyDescent="0.35">
      <c r="A22" s="44"/>
      <c r="B22" s="1191" t="s">
        <v>948</v>
      </c>
      <c r="C22" s="1192"/>
      <c r="D22" s="1193"/>
      <c r="E22" s="203" t="s">
        <v>207</v>
      </c>
      <c r="F22" s="108">
        <v>1</v>
      </c>
      <c r="G22" s="694">
        <v>153930.94999999998</v>
      </c>
      <c r="H22" s="297">
        <f t="shared" si="0"/>
        <v>153930.94999999998</v>
      </c>
    </row>
    <row r="23" spans="1:8" x14ac:dyDescent="0.35">
      <c r="A23" s="44"/>
      <c r="B23" s="1129" t="s">
        <v>842</v>
      </c>
      <c r="C23" s="1129"/>
      <c r="D23" s="1129"/>
      <c r="E23" s="203" t="s">
        <v>207</v>
      </c>
      <c r="F23" s="108">
        <v>1</v>
      </c>
      <c r="G23" s="694">
        <v>1492.6999999999998</v>
      </c>
      <c r="H23" s="297">
        <f t="shared" si="0"/>
        <v>1492.6999999999998</v>
      </c>
    </row>
    <row r="24" spans="1:8" x14ac:dyDescent="0.35">
      <c r="A24" s="44"/>
      <c r="B24" s="1129" t="s">
        <v>850</v>
      </c>
      <c r="C24" s="1129"/>
      <c r="D24" s="1129"/>
      <c r="E24" s="203" t="s">
        <v>207</v>
      </c>
      <c r="F24" s="108">
        <v>10</v>
      </c>
      <c r="G24" s="694">
        <v>240.35</v>
      </c>
      <c r="H24" s="297">
        <f t="shared" si="0"/>
        <v>2403.5</v>
      </c>
    </row>
    <row r="25" spans="1:8" x14ac:dyDescent="0.35">
      <c r="A25" s="44"/>
      <c r="B25" s="1129" t="s">
        <v>837</v>
      </c>
      <c r="C25" s="1129"/>
      <c r="D25" s="1129"/>
      <c r="E25" s="203" t="s">
        <v>207</v>
      </c>
      <c r="F25" s="108">
        <v>2</v>
      </c>
      <c r="G25" s="694">
        <v>40.25</v>
      </c>
      <c r="H25" s="297">
        <f t="shared" si="0"/>
        <v>80.5</v>
      </c>
    </row>
    <row r="26" spans="1:8" x14ac:dyDescent="0.35">
      <c r="A26" s="44"/>
      <c r="B26" s="1129" t="s">
        <v>843</v>
      </c>
      <c r="C26" s="1129"/>
      <c r="D26" s="1129"/>
      <c r="E26" s="203" t="s">
        <v>207</v>
      </c>
      <c r="F26" s="108">
        <v>2</v>
      </c>
      <c r="G26" s="694">
        <v>1494.9999999999998</v>
      </c>
      <c r="H26" s="297">
        <f t="shared" si="0"/>
        <v>2989.9999999999995</v>
      </c>
    </row>
    <row r="27" spans="1:8" ht="18.75" customHeight="1" x14ac:dyDescent="0.35">
      <c r="A27" s="44"/>
      <c r="B27" s="1203" t="s">
        <v>844</v>
      </c>
      <c r="C27" s="1203"/>
      <c r="D27" s="1203"/>
      <c r="E27" s="108"/>
      <c r="F27" s="108"/>
      <c r="G27" s="694"/>
      <c r="H27" s="297"/>
    </row>
    <row r="28" spans="1:8" ht="30" customHeight="1" x14ac:dyDescent="0.35">
      <c r="A28" s="44"/>
      <c r="B28" s="1188" t="s">
        <v>845</v>
      </c>
      <c r="C28" s="1188"/>
      <c r="D28" s="1188"/>
      <c r="E28" s="203" t="s">
        <v>207</v>
      </c>
      <c r="F28" s="108">
        <v>4</v>
      </c>
      <c r="G28" s="694">
        <v>419.74999999999994</v>
      </c>
      <c r="H28" s="297">
        <f t="shared" si="0"/>
        <v>1678.9999999999998</v>
      </c>
    </row>
    <row r="29" spans="1:8" x14ac:dyDescent="0.35">
      <c r="A29" s="44"/>
      <c r="B29" s="1129" t="s">
        <v>846</v>
      </c>
      <c r="C29" s="1129"/>
      <c r="D29" s="1129"/>
      <c r="E29" s="203" t="s">
        <v>207</v>
      </c>
      <c r="F29" s="108">
        <v>1</v>
      </c>
      <c r="G29" s="694">
        <v>2510.4499999999998</v>
      </c>
      <c r="H29" s="297">
        <f t="shared" si="0"/>
        <v>2510.4499999999998</v>
      </c>
    </row>
    <row r="30" spans="1:8" x14ac:dyDescent="0.35">
      <c r="A30" s="44"/>
      <c r="B30" s="1129" t="s">
        <v>847</v>
      </c>
      <c r="C30" s="1129"/>
      <c r="D30" s="1129"/>
      <c r="E30" s="203" t="s">
        <v>207</v>
      </c>
      <c r="F30" s="108">
        <v>1</v>
      </c>
      <c r="G30" s="694">
        <v>1492.6999999999998</v>
      </c>
      <c r="H30" s="297">
        <f t="shared" si="0"/>
        <v>1492.6999999999998</v>
      </c>
    </row>
    <row r="31" spans="1:8" x14ac:dyDescent="0.35">
      <c r="A31" s="44"/>
      <c r="B31" s="1129" t="s">
        <v>840</v>
      </c>
      <c r="C31" s="1129"/>
      <c r="D31" s="1129"/>
      <c r="E31" s="203" t="s">
        <v>207</v>
      </c>
      <c r="F31" s="108">
        <v>5</v>
      </c>
      <c r="G31" s="694">
        <v>2875</v>
      </c>
      <c r="H31" s="297">
        <f t="shared" si="0"/>
        <v>14375</v>
      </c>
    </row>
    <row r="32" spans="1:8" x14ac:dyDescent="0.35">
      <c r="A32" s="44"/>
      <c r="B32" s="1129" t="s">
        <v>945</v>
      </c>
      <c r="C32" s="1129"/>
      <c r="D32" s="1129"/>
      <c r="E32" s="203" t="s">
        <v>944</v>
      </c>
      <c r="F32" s="108">
        <v>3</v>
      </c>
      <c r="G32" s="694">
        <v>5865</v>
      </c>
      <c r="H32" s="297">
        <f t="shared" si="0"/>
        <v>17595</v>
      </c>
    </row>
    <row r="33" spans="1:8" x14ac:dyDescent="0.35">
      <c r="A33" s="44"/>
      <c r="B33" s="1129" t="s">
        <v>833</v>
      </c>
      <c r="C33" s="1129"/>
      <c r="D33" s="1129"/>
      <c r="E33" s="203" t="s">
        <v>944</v>
      </c>
      <c r="F33" s="108">
        <v>5</v>
      </c>
      <c r="G33" s="694">
        <v>5704</v>
      </c>
      <c r="H33" s="297">
        <f t="shared" si="0"/>
        <v>28520</v>
      </c>
    </row>
    <row r="34" spans="1:8" x14ac:dyDescent="0.35">
      <c r="A34" s="44"/>
      <c r="B34" s="1129" t="s">
        <v>842</v>
      </c>
      <c r="C34" s="1129"/>
      <c r="D34" s="1129"/>
      <c r="E34" s="203" t="s">
        <v>207</v>
      </c>
      <c r="F34" s="108">
        <v>3</v>
      </c>
      <c r="G34" s="694">
        <v>2640.3999999999996</v>
      </c>
      <c r="H34" s="297">
        <f t="shared" si="0"/>
        <v>7921.1999999999989</v>
      </c>
    </row>
    <row r="35" spans="1:8" x14ac:dyDescent="0.35">
      <c r="A35" s="44"/>
      <c r="B35" s="1129" t="s">
        <v>825</v>
      </c>
      <c r="C35" s="1129"/>
      <c r="D35" s="1129"/>
      <c r="E35" s="203" t="s">
        <v>207</v>
      </c>
      <c r="F35" s="108">
        <v>30</v>
      </c>
      <c r="G35" s="694">
        <v>362.25</v>
      </c>
      <c r="H35" s="297">
        <f t="shared" si="0"/>
        <v>10867.5</v>
      </c>
    </row>
    <row r="36" spans="1:8" x14ac:dyDescent="0.35">
      <c r="A36" s="44"/>
      <c r="B36" s="1129" t="s">
        <v>826</v>
      </c>
      <c r="C36" s="1129"/>
      <c r="D36" s="1129"/>
      <c r="E36" s="203" t="s">
        <v>207</v>
      </c>
      <c r="F36" s="108">
        <v>3</v>
      </c>
      <c r="G36" s="694">
        <v>1131.5999999999999</v>
      </c>
      <c r="H36" s="297">
        <f t="shared" si="0"/>
        <v>3394.7999999999997</v>
      </c>
    </row>
    <row r="37" spans="1:8" x14ac:dyDescent="0.35">
      <c r="A37" s="44"/>
      <c r="B37" s="1129" t="s">
        <v>848</v>
      </c>
      <c r="C37" s="1129"/>
      <c r="D37" s="1129"/>
      <c r="E37" s="203" t="s">
        <v>207</v>
      </c>
      <c r="F37" s="108">
        <v>8</v>
      </c>
      <c r="G37" s="694">
        <v>1494.9999999999998</v>
      </c>
      <c r="H37" s="297">
        <f t="shared" si="0"/>
        <v>11959.999999999998</v>
      </c>
    </row>
    <row r="38" spans="1:8" x14ac:dyDescent="0.35">
      <c r="A38" s="44"/>
      <c r="B38" s="1129" t="s">
        <v>836</v>
      </c>
      <c r="C38" s="1129"/>
      <c r="D38" s="1129"/>
      <c r="E38" s="203" t="s">
        <v>207</v>
      </c>
      <c r="F38" s="108">
        <v>20</v>
      </c>
      <c r="G38" s="694">
        <v>129.94999999999999</v>
      </c>
      <c r="H38" s="297">
        <f t="shared" si="0"/>
        <v>2599</v>
      </c>
    </row>
    <row r="39" spans="1:8" x14ac:dyDescent="0.35">
      <c r="A39" s="44"/>
      <c r="B39" s="1129" t="s">
        <v>849</v>
      </c>
      <c r="C39" s="1129"/>
      <c r="D39" s="1129"/>
      <c r="E39" s="203" t="s">
        <v>207</v>
      </c>
      <c r="F39" s="108">
        <v>1</v>
      </c>
      <c r="G39" s="694">
        <v>1897.4999999999998</v>
      </c>
      <c r="H39" s="297">
        <f t="shared" si="0"/>
        <v>1897.4999999999998</v>
      </c>
    </row>
    <row r="40" spans="1:8" x14ac:dyDescent="0.35">
      <c r="A40" s="44"/>
      <c r="B40" s="1129" t="s">
        <v>832</v>
      </c>
      <c r="C40" s="1129"/>
      <c r="D40" s="1129"/>
      <c r="E40" s="203" t="s">
        <v>207</v>
      </c>
      <c r="F40" s="108">
        <v>6</v>
      </c>
      <c r="G40" s="694">
        <v>345</v>
      </c>
      <c r="H40" s="297">
        <f t="shared" si="0"/>
        <v>2070</v>
      </c>
    </row>
    <row r="41" spans="1:8" x14ac:dyDescent="0.35">
      <c r="A41" s="44"/>
      <c r="B41" s="1129" t="s">
        <v>834</v>
      </c>
      <c r="C41" s="1129"/>
      <c r="D41" s="1129"/>
      <c r="E41" s="203" t="s">
        <v>207</v>
      </c>
      <c r="F41" s="108">
        <v>3</v>
      </c>
      <c r="G41" s="694">
        <v>345</v>
      </c>
      <c r="H41" s="297">
        <f t="shared" si="0"/>
        <v>1035</v>
      </c>
    </row>
    <row r="42" spans="1:8" x14ac:dyDescent="0.35">
      <c r="A42" s="44"/>
      <c r="B42" s="1129" t="s">
        <v>835</v>
      </c>
      <c r="C42" s="1129"/>
      <c r="D42" s="1129"/>
      <c r="E42" s="203" t="s">
        <v>944</v>
      </c>
      <c r="F42" s="108">
        <v>3</v>
      </c>
      <c r="G42" s="694">
        <v>1380</v>
      </c>
      <c r="H42" s="297">
        <f t="shared" si="0"/>
        <v>4140</v>
      </c>
    </row>
    <row r="43" spans="1:8" x14ac:dyDescent="0.35">
      <c r="A43" s="44"/>
      <c r="B43" s="1191" t="s">
        <v>946</v>
      </c>
      <c r="C43" s="1192"/>
      <c r="D43" s="1193"/>
      <c r="E43" s="203" t="s">
        <v>944</v>
      </c>
      <c r="F43" s="108">
        <v>4</v>
      </c>
      <c r="G43" s="694">
        <v>51749.999999999993</v>
      </c>
      <c r="H43" s="297">
        <f t="shared" si="0"/>
        <v>206999.99999999997</v>
      </c>
    </row>
    <row r="44" spans="1:8" x14ac:dyDescent="0.35">
      <c r="A44" s="44"/>
      <c r="B44" s="1129" t="s">
        <v>837</v>
      </c>
      <c r="C44" s="1129"/>
      <c r="D44" s="1129"/>
      <c r="E44" s="203" t="s">
        <v>207</v>
      </c>
      <c r="F44" s="108">
        <v>5</v>
      </c>
      <c r="G44" s="694">
        <v>40.25</v>
      </c>
      <c r="H44" s="297">
        <f t="shared" si="0"/>
        <v>201.25</v>
      </c>
    </row>
    <row r="45" spans="1:8" x14ac:dyDescent="0.35">
      <c r="A45" s="44"/>
      <c r="B45" s="1129" t="s">
        <v>850</v>
      </c>
      <c r="C45" s="1129"/>
      <c r="D45" s="1129"/>
      <c r="E45" s="203" t="s">
        <v>207</v>
      </c>
      <c r="F45" s="108">
        <v>5</v>
      </c>
      <c r="G45" s="694">
        <v>240.35</v>
      </c>
      <c r="H45" s="297">
        <f t="shared" si="0"/>
        <v>1201.75</v>
      </c>
    </row>
    <row r="46" spans="1:8" x14ac:dyDescent="0.35">
      <c r="A46" s="44"/>
      <c r="B46" s="1129" t="s">
        <v>851</v>
      </c>
      <c r="C46" s="1129"/>
      <c r="D46" s="1129"/>
      <c r="E46" s="298" t="s">
        <v>746</v>
      </c>
      <c r="F46" s="108">
        <v>4</v>
      </c>
      <c r="G46" s="694">
        <v>2940.5499999999997</v>
      </c>
      <c r="H46" s="297">
        <f t="shared" si="0"/>
        <v>11762.199999999999</v>
      </c>
    </row>
    <row r="47" spans="1:8" x14ac:dyDescent="0.35">
      <c r="A47" s="44"/>
      <c r="B47" s="1129" t="s">
        <v>852</v>
      </c>
      <c r="C47" s="1129"/>
      <c r="D47" s="1129"/>
      <c r="E47" s="299" t="s">
        <v>746</v>
      </c>
      <c r="F47" s="108">
        <v>4</v>
      </c>
      <c r="G47" s="694">
        <v>4499.95</v>
      </c>
      <c r="H47" s="297">
        <f t="shared" si="0"/>
        <v>17999.8</v>
      </c>
    </row>
    <row r="48" spans="1:8" x14ac:dyDescent="0.35">
      <c r="A48" s="44"/>
      <c r="B48" s="1195">
        <v>2016</v>
      </c>
      <c r="C48" s="1195"/>
      <c r="D48" s="1195"/>
      <c r="E48" s="300"/>
      <c r="F48" s="300"/>
      <c r="G48" s="300"/>
      <c r="H48" s="111">
        <f>SUM(H4:H47)</f>
        <v>1032084.7499999999</v>
      </c>
    </row>
    <row r="49" spans="1:8" x14ac:dyDescent="0.35">
      <c r="A49" s="44"/>
      <c r="B49" t="s">
        <v>1267</v>
      </c>
      <c r="C49" s="574"/>
      <c r="D49" s="574"/>
      <c r="E49" s="575"/>
      <c r="F49" s="575"/>
      <c r="G49" s="575"/>
      <c r="H49" s="695"/>
    </row>
    <row r="50" spans="1:8" x14ac:dyDescent="0.35">
      <c r="A50" s="44"/>
      <c r="B50" s="574"/>
      <c r="C50" s="574"/>
      <c r="D50" s="574"/>
      <c r="E50" s="575"/>
      <c r="F50" s="575"/>
      <c r="G50" s="575"/>
      <c r="H50" s="695"/>
    </row>
    <row r="51" spans="1:8" x14ac:dyDescent="0.35">
      <c r="A51" s="44"/>
      <c r="B51" s="574"/>
      <c r="C51" s="574"/>
      <c r="D51" s="574"/>
      <c r="E51" s="575"/>
      <c r="F51" s="575"/>
      <c r="G51" s="575"/>
      <c r="H51" s="575"/>
    </row>
    <row r="52" spans="1:8" x14ac:dyDescent="0.35">
      <c r="A52" s="44"/>
      <c r="B52" s="44"/>
      <c r="C52" s="44" t="s">
        <v>1176</v>
      </c>
      <c r="D52" s="44"/>
      <c r="E52" s="44" t="s">
        <v>1169</v>
      </c>
      <c r="F52" s="44"/>
      <c r="G52" s="44"/>
      <c r="H52" s="44"/>
    </row>
    <row r="53" spans="1:8" x14ac:dyDescent="0.35">
      <c r="A53" s="44"/>
      <c r="B53" s="44"/>
      <c r="C53" s="44"/>
      <c r="D53" s="44"/>
      <c r="E53" s="44"/>
      <c r="F53" s="44"/>
      <c r="G53" s="44"/>
      <c r="H53" s="44"/>
    </row>
    <row r="54" spans="1:8" x14ac:dyDescent="0.35">
      <c r="A54" s="44"/>
      <c r="B54" s="44"/>
      <c r="C54" s="44"/>
      <c r="D54" s="44"/>
      <c r="E54" s="44"/>
      <c r="F54" s="44"/>
      <c r="G54" s="44"/>
      <c r="H54" s="44"/>
    </row>
    <row r="55" spans="1:8" x14ac:dyDescent="0.35">
      <c r="A55" s="44"/>
      <c r="B55" s="1194" t="s">
        <v>1388</v>
      </c>
      <c r="C55" s="1194"/>
      <c r="D55" s="1194"/>
      <c r="E55" s="44"/>
      <c r="F55" s="44"/>
      <c r="G55" s="44"/>
      <c r="H55" s="44"/>
    </row>
    <row r="56" spans="1:8" x14ac:dyDescent="0.35">
      <c r="A56" s="44"/>
      <c r="B56" s="44"/>
      <c r="C56" s="44"/>
      <c r="D56" s="44"/>
      <c r="E56" s="44"/>
      <c r="F56" s="44" t="s">
        <v>537</v>
      </c>
      <c r="G56" s="44"/>
      <c r="H56" s="44"/>
    </row>
    <row r="57" spans="1:8" ht="41" customHeight="1" x14ac:dyDescent="0.35">
      <c r="A57" s="44"/>
      <c r="B57" s="1191"/>
      <c r="C57" s="1192"/>
      <c r="D57" s="1193"/>
      <c r="E57" s="300">
        <v>2016</v>
      </c>
    </row>
    <row r="58" spans="1:8" x14ac:dyDescent="0.35">
      <c r="A58" s="44"/>
      <c r="B58" s="1191" t="s">
        <v>1022</v>
      </c>
      <c r="C58" s="1192"/>
      <c r="D58" s="1192"/>
      <c r="E58" s="108">
        <v>0</v>
      </c>
    </row>
    <row r="59" spans="1:8" x14ac:dyDescent="0.35">
      <c r="A59" s="44"/>
      <c r="B59" s="1191" t="s">
        <v>1089</v>
      </c>
      <c r="C59" s="1192"/>
      <c r="D59" s="1193"/>
      <c r="E59" s="108">
        <v>28</v>
      </c>
    </row>
    <row r="60" spans="1:8" x14ac:dyDescent="0.35">
      <c r="A60" s="44"/>
      <c r="B60" s="108"/>
      <c r="C60" s="108" t="s">
        <v>1195</v>
      </c>
      <c r="D60" s="108"/>
      <c r="E60" s="108">
        <v>28</v>
      </c>
      <c r="F60" s="301"/>
    </row>
    <row r="61" spans="1:8" x14ac:dyDescent="0.35">
      <c r="A61" s="44"/>
      <c r="B61" s="44"/>
      <c r="C61" s="44"/>
      <c r="D61" s="44"/>
      <c r="E61" s="44"/>
      <c r="F61" s="301"/>
    </row>
    <row r="62" spans="1:8" x14ac:dyDescent="0.35">
      <c r="A62" s="44"/>
      <c r="B62" s="574"/>
      <c r="C62" s="574"/>
      <c r="D62" s="575"/>
      <c r="E62" s="575"/>
      <c r="F62" s="301"/>
    </row>
    <row r="63" spans="1:8" x14ac:dyDescent="0.35">
      <c r="A63" s="44"/>
      <c r="B63" s="44" t="s">
        <v>1176</v>
      </c>
      <c r="C63" s="44"/>
      <c r="D63" s="44" t="s">
        <v>1169</v>
      </c>
      <c r="E63" s="44"/>
      <c r="F63" s="301"/>
      <c r="G63" s="301"/>
      <c r="H63" s="301"/>
    </row>
    <row r="64" spans="1:8" x14ac:dyDescent="0.35">
      <c r="A64" s="44"/>
      <c r="B64" s="44"/>
      <c r="C64" s="44"/>
      <c r="D64" s="301" t="s">
        <v>855</v>
      </c>
      <c r="E64" s="44" t="s">
        <v>863</v>
      </c>
      <c r="F64" s="44" t="s">
        <v>537</v>
      </c>
      <c r="G64" s="44"/>
      <c r="H64" s="44"/>
    </row>
    <row r="65" spans="1:7" x14ac:dyDescent="0.35">
      <c r="A65" s="44"/>
      <c r="B65" s="1129"/>
      <c r="C65" s="1129"/>
      <c r="D65" s="1129"/>
      <c r="E65" s="1129"/>
      <c r="F65" s="300">
        <v>2016</v>
      </c>
      <c r="G65" s="44"/>
    </row>
    <row r="66" spans="1:7" x14ac:dyDescent="0.35">
      <c r="A66" s="44"/>
      <c r="B66" s="1129" t="s">
        <v>856</v>
      </c>
      <c r="C66" s="1129"/>
      <c r="D66" s="108" t="s">
        <v>857</v>
      </c>
      <c r="E66" s="108">
        <v>12</v>
      </c>
      <c r="F66" s="108">
        <v>40</v>
      </c>
      <c r="G66" s="44"/>
    </row>
    <row r="67" spans="1:7" x14ac:dyDescent="0.35">
      <c r="A67" s="44"/>
      <c r="B67" s="1188" t="s">
        <v>860</v>
      </c>
      <c r="C67" s="1188"/>
      <c r="D67" s="108" t="s">
        <v>959</v>
      </c>
      <c r="E67" s="108">
        <v>53</v>
      </c>
      <c r="F67" s="108">
        <v>62.8</v>
      </c>
    </row>
    <row r="68" spans="1:7" ht="29.25" customHeight="1" x14ac:dyDescent="0.35">
      <c r="A68" s="44"/>
      <c r="B68" s="1188" t="s">
        <v>860</v>
      </c>
      <c r="C68" s="1188"/>
      <c r="D68" s="108" t="s">
        <v>858</v>
      </c>
      <c r="E68" s="108">
        <v>53</v>
      </c>
      <c r="F68" s="108">
        <v>132.5</v>
      </c>
    </row>
    <row r="69" spans="1:7" ht="29.25" customHeight="1" x14ac:dyDescent="0.35">
      <c r="A69" s="44"/>
      <c r="B69" s="1188" t="s">
        <v>860</v>
      </c>
      <c r="C69" s="1188"/>
      <c r="D69" s="108" t="s">
        <v>960</v>
      </c>
      <c r="E69" s="108">
        <v>10</v>
      </c>
      <c r="F69" s="108">
        <v>25</v>
      </c>
    </row>
    <row r="70" spans="1:7" ht="31.5" customHeight="1" x14ac:dyDescent="0.35">
      <c r="A70" s="44"/>
      <c r="B70" s="1188" t="s">
        <v>860</v>
      </c>
      <c r="C70" s="1188"/>
      <c r="D70" s="108" t="s">
        <v>859</v>
      </c>
      <c r="E70" s="108">
        <v>53</v>
      </c>
      <c r="F70" s="108">
        <v>180.6</v>
      </c>
    </row>
    <row r="71" spans="1:7" ht="31.5" customHeight="1" x14ac:dyDescent="0.35">
      <c r="A71" s="44"/>
      <c r="B71" s="1188" t="s">
        <v>860</v>
      </c>
      <c r="C71" s="1188"/>
      <c r="D71" s="108" t="s">
        <v>1177</v>
      </c>
      <c r="E71" s="108">
        <v>53</v>
      </c>
      <c r="F71" s="108">
        <v>29.2</v>
      </c>
    </row>
    <row r="72" spans="1:7" ht="23" customHeight="1" x14ac:dyDescent="0.35">
      <c r="A72" s="44"/>
      <c r="B72" s="1188" t="s">
        <v>860</v>
      </c>
      <c r="C72" s="1188"/>
      <c r="D72" s="108" t="s">
        <v>861</v>
      </c>
      <c r="E72" s="108">
        <v>53</v>
      </c>
      <c r="F72" s="108">
        <v>131.4</v>
      </c>
    </row>
    <row r="73" spans="1:7" ht="23" customHeight="1" x14ac:dyDescent="0.35">
      <c r="A73" s="44"/>
      <c r="B73" s="1188" t="s">
        <v>860</v>
      </c>
      <c r="C73" s="1188"/>
      <c r="D73" s="108" t="s">
        <v>862</v>
      </c>
      <c r="E73" s="108">
        <v>53</v>
      </c>
      <c r="F73" s="108">
        <v>119.3</v>
      </c>
    </row>
    <row r="74" spans="1:7" ht="36" customHeight="1" x14ac:dyDescent="0.35">
      <c r="A74" s="44"/>
      <c r="B74" s="1188" t="s">
        <v>860</v>
      </c>
      <c r="C74" s="1188"/>
      <c r="D74" s="109" t="s">
        <v>961</v>
      </c>
      <c r="E74" s="108">
        <v>60</v>
      </c>
      <c r="F74" s="108">
        <v>15.3</v>
      </c>
    </row>
    <row r="75" spans="1:7" ht="36" customHeight="1" x14ac:dyDescent="0.35">
      <c r="A75" s="44"/>
      <c r="B75" s="1188" t="s">
        <v>860</v>
      </c>
      <c r="C75" s="1188"/>
      <c r="D75" s="108" t="s">
        <v>962</v>
      </c>
      <c r="E75" s="108">
        <v>40</v>
      </c>
      <c r="F75" s="108">
        <v>20</v>
      </c>
    </row>
    <row r="76" spans="1:7" ht="36" customHeight="1" x14ac:dyDescent="0.35">
      <c r="A76" s="44"/>
      <c r="B76" s="1188" t="s">
        <v>860</v>
      </c>
      <c r="C76" s="1188"/>
      <c r="D76" s="109" t="s">
        <v>963</v>
      </c>
      <c r="E76" s="108">
        <v>10</v>
      </c>
      <c r="F76" s="108">
        <v>5</v>
      </c>
    </row>
    <row r="77" spans="1:7" ht="42" customHeight="1" x14ac:dyDescent="0.35">
      <c r="A77" s="44"/>
      <c r="B77" s="1189" t="s">
        <v>955</v>
      </c>
      <c r="C77" s="1190"/>
      <c r="D77" s="109" t="s">
        <v>958</v>
      </c>
      <c r="E77" s="108">
        <v>1</v>
      </c>
      <c r="F77" s="108">
        <v>2</v>
      </c>
    </row>
    <row r="78" spans="1:7" ht="36" customHeight="1" x14ac:dyDescent="0.35">
      <c r="A78" s="44"/>
      <c r="B78" s="1189" t="s">
        <v>956</v>
      </c>
      <c r="C78" s="1190"/>
      <c r="D78" s="109" t="s">
        <v>957</v>
      </c>
      <c r="E78" s="108">
        <v>1</v>
      </c>
      <c r="F78" s="108">
        <v>2</v>
      </c>
    </row>
    <row r="79" spans="1:7" x14ac:dyDescent="0.35">
      <c r="A79" s="44"/>
      <c r="B79" s="1129" t="s">
        <v>864</v>
      </c>
      <c r="C79" s="1129"/>
      <c r="D79" s="108"/>
      <c r="E79" s="108">
        <v>1</v>
      </c>
      <c r="F79" s="108">
        <v>8</v>
      </c>
    </row>
    <row r="80" spans="1:7" x14ac:dyDescent="0.35">
      <c r="A80" s="44"/>
      <c r="B80" s="108"/>
      <c r="C80" s="108" t="s">
        <v>15</v>
      </c>
      <c r="D80" s="108"/>
      <c r="E80" s="108"/>
      <c r="F80" s="111">
        <f>SUM(F66:F79)</f>
        <v>773.09999999999991</v>
      </c>
    </row>
    <row r="81" spans="1:7" x14ac:dyDescent="0.35">
      <c r="A81" s="44"/>
      <c r="B81" s="44"/>
      <c r="C81" s="44"/>
      <c r="D81" s="44"/>
      <c r="E81" s="44"/>
      <c r="F81" s="302"/>
      <c r="G81" s="302"/>
    </row>
    <row r="82" spans="1:7" x14ac:dyDescent="0.35">
      <c r="A82" s="44"/>
      <c r="B82" s="44"/>
      <c r="C82" s="44" t="s">
        <v>10</v>
      </c>
      <c r="D82" s="44"/>
      <c r="E82" s="44" t="s">
        <v>1175</v>
      </c>
      <c r="F82" s="44"/>
      <c r="G82" s="44"/>
    </row>
    <row r="83" spans="1:7" x14ac:dyDescent="0.35">
      <c r="A83" s="44"/>
      <c r="B83" s="44"/>
      <c r="C83" s="44"/>
      <c r="D83" s="44"/>
      <c r="E83" s="44"/>
      <c r="F83" s="44"/>
      <c r="G83" s="44"/>
    </row>
    <row r="85" spans="1:7" ht="18.5" x14ac:dyDescent="0.45">
      <c r="C85" s="669" t="s">
        <v>1241</v>
      </c>
    </row>
    <row r="87" spans="1:7" x14ac:dyDescent="0.35">
      <c r="B87" s="1053" t="s">
        <v>131</v>
      </c>
      <c r="C87" s="1055"/>
      <c r="D87" s="41" t="s">
        <v>680</v>
      </c>
      <c r="E87" s="670" t="s">
        <v>1247</v>
      </c>
      <c r="F87" s="1056" t="s">
        <v>1242</v>
      </c>
      <c r="G87" s="1056"/>
    </row>
    <row r="88" spans="1:7" x14ac:dyDescent="0.35">
      <c r="B88" s="1053" t="s">
        <v>1243</v>
      </c>
      <c r="C88" s="1055"/>
      <c r="D88" s="41">
        <v>24</v>
      </c>
      <c r="E88" s="670">
        <v>55</v>
      </c>
      <c r="F88" s="1056">
        <f t="shared" ref="F88:F90" si="1">D88*E88</f>
        <v>1320</v>
      </c>
      <c r="G88" s="1056"/>
    </row>
    <row r="89" spans="1:7" x14ac:dyDescent="0.35">
      <c r="B89" s="1053" t="s">
        <v>1244</v>
      </c>
      <c r="C89" s="1055"/>
      <c r="D89" s="41">
        <v>24</v>
      </c>
      <c r="E89" s="670">
        <v>150</v>
      </c>
      <c r="F89" s="1056">
        <f t="shared" si="1"/>
        <v>3600</v>
      </c>
      <c r="G89" s="1056"/>
    </row>
    <row r="90" spans="1:7" x14ac:dyDescent="0.35">
      <c r="B90" s="1053" t="s">
        <v>1245</v>
      </c>
      <c r="C90" s="1055"/>
      <c r="D90" s="41">
        <v>24</v>
      </c>
      <c r="E90" s="670">
        <v>80</v>
      </c>
      <c r="F90" s="1056">
        <f t="shared" si="1"/>
        <v>1920</v>
      </c>
      <c r="G90" s="1056"/>
    </row>
    <row r="91" spans="1:7" x14ac:dyDescent="0.35">
      <c r="B91" s="1053" t="s">
        <v>1246</v>
      </c>
      <c r="C91" s="1055"/>
      <c r="D91" s="41">
        <v>6</v>
      </c>
      <c r="E91" s="670">
        <v>150</v>
      </c>
      <c r="F91" s="1056">
        <f>D91*E91</f>
        <v>900</v>
      </c>
      <c r="G91" s="1056"/>
    </row>
    <row r="92" spans="1:7" x14ac:dyDescent="0.35">
      <c r="B92" s="1053" t="s">
        <v>1249</v>
      </c>
      <c r="C92" s="1055"/>
      <c r="D92" s="41">
        <v>12</v>
      </c>
      <c r="E92" s="670">
        <v>200</v>
      </c>
      <c r="F92" s="1056">
        <f t="shared" ref="F92:F93" si="2">D92*E92</f>
        <v>2400</v>
      </c>
      <c r="G92" s="1056"/>
    </row>
    <row r="93" spans="1:7" x14ac:dyDescent="0.35">
      <c r="B93" s="1053" t="s">
        <v>1248</v>
      </c>
      <c r="C93" s="1055"/>
      <c r="D93" s="41">
        <v>24</v>
      </c>
      <c r="E93" s="670">
        <v>75</v>
      </c>
      <c r="F93" s="1056">
        <f t="shared" si="2"/>
        <v>1800</v>
      </c>
      <c r="G93" s="1056"/>
    </row>
    <row r="94" spans="1:7" x14ac:dyDescent="0.35">
      <c r="B94" s="1056" t="s">
        <v>1250</v>
      </c>
      <c r="C94" s="1056"/>
      <c r="D94" s="41">
        <v>53</v>
      </c>
      <c r="E94" s="316">
        <v>25</v>
      </c>
      <c r="F94" s="1056">
        <f t="shared" ref="F94" si="3">D94*E94</f>
        <v>1325</v>
      </c>
      <c r="G94" s="1056"/>
    </row>
    <row r="95" spans="1:7" x14ac:dyDescent="0.35">
      <c r="B95" s="1056" t="s">
        <v>1252</v>
      </c>
      <c r="C95" s="1056"/>
      <c r="D95" s="41">
        <v>2544</v>
      </c>
      <c r="E95" s="316">
        <v>15</v>
      </c>
      <c r="F95" s="1056">
        <f t="shared" ref="F95" si="4">D95*E95</f>
        <v>38160</v>
      </c>
      <c r="G95" s="1056"/>
    </row>
    <row r="96" spans="1:7" x14ac:dyDescent="0.35">
      <c r="B96" s="1056" t="s">
        <v>210</v>
      </c>
      <c r="C96" s="1056"/>
      <c r="D96" s="41"/>
      <c r="E96" s="316"/>
      <c r="F96" s="1056">
        <f>SUM(F88:F95)</f>
        <v>51425</v>
      </c>
      <c r="G96" s="1056"/>
    </row>
    <row r="98" spans="3:5" x14ac:dyDescent="0.35">
      <c r="C98" t="s">
        <v>10</v>
      </c>
      <c r="E98" t="s">
        <v>1251</v>
      </c>
    </row>
  </sheetData>
  <mergeCells count="86">
    <mergeCell ref="B19:D19"/>
    <mergeCell ref="B20:D20"/>
    <mergeCell ref="B23:D23"/>
    <mergeCell ref="B59:D59"/>
    <mergeCell ref="B43:D43"/>
    <mergeCell ref="B35:D35"/>
    <mergeCell ref="B36:D36"/>
    <mergeCell ref="B26:D26"/>
    <mergeCell ref="B27:D27"/>
    <mergeCell ref="B28:D28"/>
    <mergeCell ref="B29:D29"/>
    <mergeCell ref="B30:D30"/>
    <mergeCell ref="B32:D32"/>
    <mergeCell ref="B33:D33"/>
    <mergeCell ref="B34:D34"/>
    <mergeCell ref="B42:D42"/>
    <mergeCell ref="B14:D14"/>
    <mergeCell ref="B15:D15"/>
    <mergeCell ref="B16:D16"/>
    <mergeCell ref="B17:D17"/>
    <mergeCell ref="B18:D18"/>
    <mergeCell ref="B7:D7"/>
    <mergeCell ref="B10:D10"/>
    <mergeCell ref="B11:D11"/>
    <mergeCell ref="B12:D12"/>
    <mergeCell ref="B13:D13"/>
    <mergeCell ref="B8:D8"/>
    <mergeCell ref="B9:D9"/>
    <mergeCell ref="B4:D4"/>
    <mergeCell ref="B5:D5"/>
    <mergeCell ref="B6:D6"/>
    <mergeCell ref="A2:H2"/>
    <mergeCell ref="B3:D3"/>
    <mergeCell ref="B24:D24"/>
    <mergeCell ref="B25:D25"/>
    <mergeCell ref="B21:D21"/>
    <mergeCell ref="B22:D22"/>
    <mergeCell ref="B39:D39"/>
    <mergeCell ref="B31:D31"/>
    <mergeCell ref="B37:D37"/>
    <mergeCell ref="B38:D38"/>
    <mergeCell ref="B57:D57"/>
    <mergeCell ref="B58:D58"/>
    <mergeCell ref="B40:D40"/>
    <mergeCell ref="B41:D41"/>
    <mergeCell ref="B65:E65"/>
    <mergeCell ref="B55:D55"/>
    <mergeCell ref="B44:D44"/>
    <mergeCell ref="B45:D45"/>
    <mergeCell ref="B46:D46"/>
    <mergeCell ref="B47:D47"/>
    <mergeCell ref="B48:D48"/>
    <mergeCell ref="B79:C79"/>
    <mergeCell ref="B66:C66"/>
    <mergeCell ref="B68:C68"/>
    <mergeCell ref="B70:C70"/>
    <mergeCell ref="B72:C72"/>
    <mergeCell ref="B73:C73"/>
    <mergeCell ref="B77:C77"/>
    <mergeCell ref="B78:C78"/>
    <mergeCell ref="B67:C67"/>
    <mergeCell ref="B69:C69"/>
    <mergeCell ref="B74:C74"/>
    <mergeCell ref="B75:C75"/>
    <mergeCell ref="B76:C76"/>
    <mergeCell ref="B71:C71"/>
    <mergeCell ref="B93:C93"/>
    <mergeCell ref="F87:G87"/>
    <mergeCell ref="F88:G88"/>
    <mergeCell ref="F89:G89"/>
    <mergeCell ref="F90:G90"/>
    <mergeCell ref="F91:G91"/>
    <mergeCell ref="F92:G92"/>
    <mergeCell ref="F93:G93"/>
    <mergeCell ref="B90:C90"/>
    <mergeCell ref="B91:C91"/>
    <mergeCell ref="B92:C92"/>
    <mergeCell ref="B87:C87"/>
    <mergeCell ref="B88:C88"/>
    <mergeCell ref="B89:C89"/>
    <mergeCell ref="B94:C94"/>
    <mergeCell ref="F94:G94"/>
    <mergeCell ref="B96:C96"/>
    <mergeCell ref="F96:G96"/>
    <mergeCell ref="B95:C95"/>
    <mergeCell ref="F95:G95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opLeftCell="A13" workbookViewId="0">
      <selection activeCell="F24" sqref="A1:F24"/>
    </sheetView>
  </sheetViews>
  <sheetFormatPr defaultRowHeight="14.5" x14ac:dyDescent="0.35"/>
  <cols>
    <col min="1" max="1" width="24" style="44" customWidth="1"/>
    <col min="2" max="2" width="12.1796875" style="44" customWidth="1"/>
    <col min="3" max="3" width="13" style="44" customWidth="1"/>
    <col min="4" max="4" width="11.36328125" style="44" customWidth="1"/>
    <col min="5" max="5" width="12.08984375" style="44" customWidth="1"/>
    <col min="6" max="6" width="10.26953125" style="44" customWidth="1"/>
    <col min="7" max="16384" width="8.7265625" style="44"/>
  </cols>
  <sheetData>
    <row r="2" spans="1:8" x14ac:dyDescent="0.35">
      <c r="A2" s="1211" t="s">
        <v>814</v>
      </c>
      <c r="B2" s="1211"/>
      <c r="C2" s="1211"/>
      <c r="D2" s="1211"/>
      <c r="E2" s="1211"/>
      <c r="F2" s="600"/>
      <c r="G2" s="599"/>
      <c r="H2" s="599"/>
    </row>
    <row r="3" spans="1:8" x14ac:dyDescent="0.35">
      <c r="A3" s="677"/>
      <c r="B3" s="661"/>
      <c r="C3" s="677"/>
      <c r="D3" s="677" t="s">
        <v>320</v>
      </c>
      <c r="E3" s="677"/>
      <c r="F3" s="600"/>
      <c r="G3" s="599"/>
      <c r="H3" s="599"/>
    </row>
    <row r="4" spans="1:8" x14ac:dyDescent="0.35">
      <c r="A4" s="1204" t="s">
        <v>747</v>
      </c>
      <c r="B4" s="597" t="s">
        <v>1194</v>
      </c>
      <c r="C4" s="1207">
        <v>2016</v>
      </c>
      <c r="D4" s="1208"/>
      <c r="E4" s="1208"/>
      <c r="F4" s="598"/>
      <c r="G4" s="241"/>
      <c r="H4" s="241"/>
    </row>
    <row r="5" spans="1:8" x14ac:dyDescent="0.35">
      <c r="A5" s="1205"/>
      <c r="B5" s="495" t="s">
        <v>1262</v>
      </c>
      <c r="C5" s="1209"/>
      <c r="D5" s="1210"/>
      <c r="E5" s="1210"/>
      <c r="F5" s="598"/>
      <c r="G5" s="241"/>
      <c r="H5" s="241"/>
    </row>
    <row r="6" spans="1:8" ht="20" x14ac:dyDescent="0.35">
      <c r="A6" s="1206"/>
      <c r="B6" s="495"/>
      <c r="C6" s="483" t="s">
        <v>933</v>
      </c>
      <c r="D6" s="34" t="s">
        <v>822</v>
      </c>
      <c r="E6" s="34" t="s">
        <v>748</v>
      </c>
    </row>
    <row r="7" spans="1:8" x14ac:dyDescent="0.35">
      <c r="A7" s="496" t="s">
        <v>749</v>
      </c>
      <c r="B7" s="496"/>
      <c r="C7" s="34"/>
      <c r="D7" s="33"/>
      <c r="E7" s="205"/>
    </row>
    <row r="8" spans="1:8" x14ac:dyDescent="0.35">
      <c r="A8" s="34" t="s">
        <v>750</v>
      </c>
      <c r="B8" s="34">
        <v>45475</v>
      </c>
      <c r="C8" s="272">
        <f>3724.43*1.118</f>
        <v>4163.9127399999998</v>
      </c>
      <c r="D8" s="35">
        <v>49.34</v>
      </c>
      <c r="E8" s="234">
        <f>C8*D8</f>
        <v>205447.45459159999</v>
      </c>
    </row>
    <row r="9" spans="1:8" x14ac:dyDescent="0.35">
      <c r="A9" s="496" t="s">
        <v>751</v>
      </c>
      <c r="B9" s="496"/>
      <c r="C9" s="34"/>
      <c r="D9" s="33"/>
      <c r="E9" s="235"/>
    </row>
    <row r="10" spans="1:8" x14ac:dyDescent="0.35">
      <c r="A10" s="34" t="s">
        <v>750</v>
      </c>
      <c r="B10" s="34">
        <v>3152</v>
      </c>
      <c r="C10" s="32">
        <f>20.43*1.118</f>
        <v>22.84074</v>
      </c>
      <c r="D10" s="495">
        <v>479.75</v>
      </c>
      <c r="E10" s="234">
        <f>D10*C10</f>
        <v>10957.845015000001</v>
      </c>
    </row>
    <row r="11" spans="1:8" x14ac:dyDescent="0.35">
      <c r="A11" s="496" t="s">
        <v>752</v>
      </c>
      <c r="B11" s="496"/>
      <c r="C11" s="34"/>
      <c r="D11" s="35"/>
      <c r="E11" s="235"/>
    </row>
    <row r="12" spans="1:8" x14ac:dyDescent="0.35">
      <c r="A12" s="34" t="s">
        <v>750</v>
      </c>
      <c r="B12" s="34">
        <v>2378</v>
      </c>
      <c r="C12" s="32">
        <f>15.09*1.118</f>
        <v>16.870620000000002</v>
      </c>
      <c r="D12" s="35">
        <v>478.2</v>
      </c>
      <c r="E12" s="234">
        <f>D12*C12</f>
        <v>8067.5304840000008</v>
      </c>
    </row>
    <row r="13" spans="1:8" ht="21" x14ac:dyDescent="0.35">
      <c r="A13" s="496" t="s">
        <v>821</v>
      </c>
      <c r="B13" s="496"/>
      <c r="C13" s="34"/>
      <c r="D13" s="35"/>
      <c r="E13" s="204"/>
    </row>
    <row r="14" spans="1:8" x14ac:dyDescent="0.35">
      <c r="A14" s="34" t="s">
        <v>750</v>
      </c>
      <c r="B14" s="34">
        <v>103</v>
      </c>
      <c r="C14" s="272">
        <f>20.43*1.118</f>
        <v>22.84074</v>
      </c>
      <c r="D14" s="35">
        <v>6.66</v>
      </c>
      <c r="E14" s="234">
        <f>D14*C14</f>
        <v>152.1193284</v>
      </c>
    </row>
    <row r="15" spans="1:8" x14ac:dyDescent="0.35">
      <c r="A15" s="496" t="s">
        <v>753</v>
      </c>
      <c r="B15" s="496">
        <v>45475</v>
      </c>
      <c r="C15" s="495"/>
      <c r="D15" s="42"/>
      <c r="E15" s="235">
        <f>E8</f>
        <v>205447.45459159999</v>
      </c>
    </row>
    <row r="16" spans="1:8" x14ac:dyDescent="0.35">
      <c r="A16" s="244" t="s">
        <v>754</v>
      </c>
      <c r="B16" s="244">
        <f>B10+B12+B14</f>
        <v>5633</v>
      </c>
      <c r="C16" s="495"/>
      <c r="D16" s="42"/>
      <c r="E16" s="235">
        <f>E10+E12+E14</f>
        <v>19177.494827400002</v>
      </c>
    </row>
    <row r="17" spans="1:5" x14ac:dyDescent="0.35">
      <c r="A17" s="675" t="s">
        <v>1264</v>
      </c>
      <c r="B17" s="675">
        <v>5060</v>
      </c>
      <c r="C17" s="680">
        <v>61</v>
      </c>
      <c r="D17" s="680">
        <v>170</v>
      </c>
      <c r="E17" s="679">
        <f>C17*D17</f>
        <v>10370</v>
      </c>
    </row>
    <row r="18" spans="1:5" x14ac:dyDescent="0.35">
      <c r="A18" s="675" t="s">
        <v>1265</v>
      </c>
      <c r="B18" s="675">
        <v>12598</v>
      </c>
      <c r="C18" s="680">
        <v>1560</v>
      </c>
      <c r="D18" s="680">
        <v>12</v>
      </c>
      <c r="E18" s="679">
        <f>C18*D18</f>
        <v>18720</v>
      </c>
    </row>
    <row r="19" spans="1:5" ht="20" x14ac:dyDescent="0.35">
      <c r="A19" s="676" t="s">
        <v>1263</v>
      </c>
      <c r="B19" s="681">
        <v>19596</v>
      </c>
      <c r="C19" s="680">
        <v>2810</v>
      </c>
      <c r="D19" s="680">
        <v>12</v>
      </c>
      <c r="E19" s="679">
        <f>C19*D19</f>
        <v>33720</v>
      </c>
    </row>
    <row r="20" spans="1:5" x14ac:dyDescent="0.35">
      <c r="A20" s="108" t="s">
        <v>675</v>
      </c>
      <c r="B20" s="108">
        <f>SUM(B15:B19)</f>
        <v>88362</v>
      </c>
      <c r="C20" s="108"/>
      <c r="D20" s="108"/>
      <c r="E20" s="110">
        <f>SUM(E15:E19)</f>
        <v>287434.94941899995</v>
      </c>
    </row>
    <row r="22" spans="1:5" x14ac:dyDescent="0.35">
      <c r="A22" s="44" t="s">
        <v>10</v>
      </c>
      <c r="D22" s="44" t="s">
        <v>1175</v>
      </c>
    </row>
  </sheetData>
  <mergeCells count="3">
    <mergeCell ref="A4:A6"/>
    <mergeCell ref="C4:E5"/>
    <mergeCell ref="A2:E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workbookViewId="0">
      <selection activeCell="O33" sqref="A1:O33"/>
    </sheetView>
  </sheetViews>
  <sheetFormatPr defaultRowHeight="14.5" x14ac:dyDescent="0.35"/>
  <sheetData>
    <row r="2" spans="1:13" ht="15.5" x14ac:dyDescent="0.35">
      <c r="A2" s="206"/>
      <c r="B2" s="481" t="s">
        <v>755</v>
      </c>
      <c r="C2" s="481"/>
      <c r="D2" s="481"/>
      <c r="E2" s="481"/>
      <c r="F2" s="206"/>
      <c r="G2" s="206"/>
      <c r="H2" s="46"/>
      <c r="I2" s="46"/>
      <c r="J2" s="46"/>
      <c r="K2" s="46"/>
      <c r="L2" s="46"/>
      <c r="M2" s="46"/>
    </row>
    <row r="3" spans="1:13" ht="15.5" x14ac:dyDescent="0.35">
      <c r="A3" s="206"/>
      <c r="B3" s="481"/>
      <c r="C3" s="458"/>
      <c r="D3" s="481"/>
      <c r="E3" s="481"/>
      <c r="F3" s="206"/>
      <c r="G3" s="206"/>
      <c r="H3" s="206"/>
      <c r="I3" s="206"/>
      <c r="J3" s="206"/>
      <c r="K3" s="46"/>
      <c r="L3" s="46"/>
      <c r="M3" s="46"/>
    </row>
    <row r="4" spans="1:13" x14ac:dyDescent="0.35">
      <c r="A4" s="206"/>
      <c r="B4" s="482" t="s">
        <v>756</v>
      </c>
      <c r="C4" s="206"/>
      <c r="D4" s="206"/>
      <c r="E4" s="206"/>
      <c r="F4" s="206"/>
      <c r="G4" s="206"/>
      <c r="H4" s="46"/>
      <c r="I4" s="46"/>
      <c r="J4" s="46"/>
      <c r="K4" s="46"/>
      <c r="L4" s="46"/>
      <c r="M4" s="46"/>
    </row>
    <row r="5" spans="1:13" x14ac:dyDescent="0.35">
      <c r="A5" s="206"/>
      <c r="B5" s="207" t="s">
        <v>757</v>
      </c>
      <c r="C5" s="207"/>
      <c r="D5" s="207"/>
      <c r="E5" s="208">
        <f>58*1.1</f>
        <v>63.800000000000004</v>
      </c>
      <c r="F5" s="207" t="s">
        <v>320</v>
      </c>
      <c r="G5" s="207" t="s">
        <v>758</v>
      </c>
      <c r="H5" s="46"/>
      <c r="I5" s="46"/>
      <c r="J5" s="46"/>
      <c r="K5" s="46"/>
      <c r="L5" s="46"/>
      <c r="M5" s="46"/>
    </row>
    <row r="6" spans="1:13" x14ac:dyDescent="0.35">
      <c r="A6" s="206"/>
      <c r="B6" s="207" t="s">
        <v>759</v>
      </c>
      <c r="C6" s="207"/>
      <c r="D6" s="207"/>
      <c r="E6" s="208">
        <f>37.83*1.1</f>
        <v>41.613</v>
      </c>
      <c r="F6" s="207" t="s">
        <v>320</v>
      </c>
      <c r="G6" s="207" t="s">
        <v>758</v>
      </c>
      <c r="H6" s="46"/>
      <c r="I6" s="46"/>
      <c r="J6" s="46"/>
      <c r="K6" s="46"/>
      <c r="L6" s="46"/>
      <c r="M6" s="46"/>
    </row>
    <row r="7" spans="1:13" x14ac:dyDescent="0.35">
      <c r="A7" s="206"/>
      <c r="B7" s="207" t="s">
        <v>760</v>
      </c>
      <c r="C7" s="207"/>
      <c r="D7" s="207"/>
      <c r="E7" s="208">
        <f>47.52*1.1</f>
        <v>52.272000000000006</v>
      </c>
      <c r="F7" s="207" t="s">
        <v>320</v>
      </c>
      <c r="G7" s="207" t="s">
        <v>758</v>
      </c>
      <c r="H7" s="46"/>
      <c r="I7" s="46"/>
      <c r="J7" s="46"/>
      <c r="K7" s="46"/>
      <c r="L7" s="46"/>
      <c r="M7" s="46"/>
    </row>
    <row r="8" spans="1:13" x14ac:dyDescent="0.35">
      <c r="A8" s="206"/>
      <c r="B8" s="207" t="s">
        <v>761</v>
      </c>
      <c r="C8" s="207"/>
      <c r="D8" s="207"/>
      <c r="E8" s="208">
        <f>68.04*1.1</f>
        <v>74.844000000000008</v>
      </c>
      <c r="F8" s="207" t="s">
        <v>320</v>
      </c>
      <c r="G8" s="207" t="s">
        <v>762</v>
      </c>
      <c r="H8" s="46"/>
      <c r="I8" s="46"/>
      <c r="J8" s="46"/>
      <c r="K8" s="46"/>
      <c r="L8" s="46"/>
      <c r="M8" s="46"/>
    </row>
    <row r="9" spans="1:13" x14ac:dyDescent="0.35">
      <c r="A9" s="210"/>
      <c r="B9" s="242"/>
      <c r="C9" s="242"/>
      <c r="D9" s="242"/>
      <c r="E9" s="242"/>
      <c r="F9" s="242"/>
      <c r="G9" s="242"/>
      <c r="H9" s="211"/>
      <c r="I9" s="210"/>
      <c r="J9" s="210"/>
      <c r="K9" s="210"/>
      <c r="L9" s="210"/>
      <c r="M9" s="210"/>
    </row>
    <row r="10" spans="1:13" x14ac:dyDescent="0.35">
      <c r="A10" s="212"/>
      <c r="B10" s="243"/>
      <c r="C10" s="243"/>
      <c r="D10" s="242"/>
      <c r="E10" s="242"/>
      <c r="F10" s="242"/>
      <c r="G10" s="242"/>
      <c r="H10" s="211" t="s">
        <v>763</v>
      </c>
      <c r="I10" s="213"/>
      <c r="J10" s="213"/>
      <c r="K10" s="213"/>
      <c r="L10" s="213"/>
      <c r="M10" s="214" t="s">
        <v>537</v>
      </c>
    </row>
    <row r="11" spans="1:13" x14ac:dyDescent="0.35">
      <c r="A11" s="1212" t="s">
        <v>764</v>
      </c>
      <c r="B11" s="1212"/>
      <c r="C11" s="1212"/>
      <c r="D11" s="1213" t="s">
        <v>765</v>
      </c>
      <c r="E11" s="1212" t="s">
        <v>766</v>
      </c>
      <c r="F11" s="1212"/>
      <c r="G11" s="1212"/>
      <c r="H11" s="1212"/>
      <c r="I11" s="1214" t="s">
        <v>767</v>
      </c>
      <c r="J11" s="1214"/>
      <c r="K11" s="1214"/>
      <c r="L11" s="1214"/>
      <c r="M11" s="1215" t="s">
        <v>768</v>
      </c>
    </row>
    <row r="12" spans="1:13" ht="15" thickBot="1" x14ac:dyDescent="0.4">
      <c r="A12" s="1212"/>
      <c r="B12" s="1212"/>
      <c r="C12" s="1212"/>
      <c r="D12" s="1213"/>
      <c r="E12" s="215" t="s">
        <v>769</v>
      </c>
      <c r="F12" s="215" t="s">
        <v>770</v>
      </c>
      <c r="G12" s="215" t="s">
        <v>771</v>
      </c>
      <c r="H12" s="215" t="s">
        <v>772</v>
      </c>
      <c r="I12" s="215" t="s">
        <v>769</v>
      </c>
      <c r="J12" s="215" t="s">
        <v>770</v>
      </c>
      <c r="K12" s="215" t="s">
        <v>771</v>
      </c>
      <c r="L12" s="215" t="s">
        <v>772</v>
      </c>
      <c r="M12" s="1215"/>
    </row>
    <row r="13" spans="1:13" x14ac:dyDescent="0.35">
      <c r="A13" s="1219" t="s">
        <v>773</v>
      </c>
      <c r="B13" s="1219"/>
      <c r="C13" s="1216"/>
      <c r="D13" s="279">
        <v>2610</v>
      </c>
      <c r="E13" s="209">
        <v>2.64</v>
      </c>
      <c r="F13" s="209">
        <v>0.24</v>
      </c>
      <c r="G13" s="209">
        <v>0.06</v>
      </c>
      <c r="H13" s="209">
        <v>0.2</v>
      </c>
      <c r="I13" s="216">
        <f>(D13/100*E13*E5)/1000</f>
        <v>4.3960752000000012</v>
      </c>
      <c r="J13" s="216">
        <f>(D13/100*F13*E7)/1000</f>
        <v>0.32743180800000005</v>
      </c>
      <c r="K13" s="216">
        <f>(D13/100*G13*E6)/1000</f>
        <v>6.516595800000001E-2</v>
      </c>
      <c r="L13" s="216">
        <f>(D13/100*H13*E8)/1000</f>
        <v>0.39068568000000009</v>
      </c>
      <c r="M13" s="217">
        <f t="shared" ref="M13:M25" si="0">SUM(I13:L13)</f>
        <v>5.1793586460000007</v>
      </c>
    </row>
    <row r="14" spans="1:13" x14ac:dyDescent="0.35">
      <c r="A14" s="1216" t="s">
        <v>774</v>
      </c>
      <c r="B14" s="1217"/>
      <c r="C14" s="1217"/>
      <c r="D14" s="108">
        <v>1776</v>
      </c>
      <c r="E14" s="209">
        <v>2.64</v>
      </c>
      <c r="F14" s="209">
        <v>0.24</v>
      </c>
      <c r="G14" s="209">
        <v>0.06</v>
      </c>
      <c r="H14" s="209">
        <v>0.2</v>
      </c>
      <c r="I14" s="216">
        <f>(D14/100*E14*E5)/1000</f>
        <v>2.9913523200000007</v>
      </c>
      <c r="J14" s="216">
        <f>(D14/100*F14*E7)/1000</f>
        <v>0.22280417280000003</v>
      </c>
      <c r="K14" s="216">
        <f>(D14/100*G14*E6)/1000</f>
        <v>4.4342812800000006E-2</v>
      </c>
      <c r="L14" s="216">
        <f>(D14/100*H14*E8)/1000</f>
        <v>0.26584588800000009</v>
      </c>
      <c r="M14" s="217">
        <f t="shared" si="0"/>
        <v>3.5243451936000012</v>
      </c>
    </row>
    <row r="15" spans="1:13" x14ac:dyDescent="0.35">
      <c r="A15" s="1219" t="s">
        <v>272</v>
      </c>
      <c r="B15" s="1219"/>
      <c r="C15" s="1216"/>
      <c r="D15" s="108">
        <v>1476</v>
      </c>
      <c r="E15" s="209">
        <v>2.64</v>
      </c>
      <c r="F15" s="209">
        <v>0.24</v>
      </c>
      <c r="G15" s="209">
        <v>0.06</v>
      </c>
      <c r="H15" s="209">
        <v>0.2</v>
      </c>
      <c r="I15" s="216">
        <f>(D15/100*E15*E6)/1000</f>
        <v>1.6215088031999998</v>
      </c>
      <c r="J15" s="216">
        <f>(D15/100*F15*E8)/1000</f>
        <v>0.26512738560000004</v>
      </c>
      <c r="K15" s="216">
        <f>(D15/100*G15*E7)/1000</f>
        <v>4.62920832E-2</v>
      </c>
      <c r="L15" s="216">
        <f>(D15/100*H15*E9)/1000</f>
        <v>0</v>
      </c>
      <c r="M15" s="217">
        <f t="shared" si="0"/>
        <v>1.9329282719999998</v>
      </c>
    </row>
    <row r="16" spans="1:13" x14ac:dyDescent="0.35">
      <c r="A16" s="1216" t="s">
        <v>775</v>
      </c>
      <c r="B16" s="1217"/>
      <c r="C16" s="1217"/>
      <c r="D16" s="108">
        <v>1669</v>
      </c>
      <c r="E16" s="209">
        <v>2.64</v>
      </c>
      <c r="F16" s="209">
        <v>0.36</v>
      </c>
      <c r="G16" s="209">
        <v>0.12</v>
      </c>
      <c r="H16" s="209">
        <v>0.24</v>
      </c>
      <c r="I16" s="216">
        <f>(D16/100*E16*E5)/1000</f>
        <v>2.8111300800000003</v>
      </c>
      <c r="J16" s="216">
        <f>(D16/100*F16*E7)/1000</f>
        <v>0.31407108480000007</v>
      </c>
      <c r="K16" s="216">
        <f>(D16/100*G16*E6)/1000</f>
        <v>8.3342516400000011E-2</v>
      </c>
      <c r="L16" s="216">
        <f>(D16/100*H16*E8)/1000</f>
        <v>0.29979512640000006</v>
      </c>
      <c r="M16" s="217">
        <f t="shared" si="0"/>
        <v>3.5083388076000004</v>
      </c>
    </row>
    <row r="17" spans="1:13" x14ac:dyDescent="0.35">
      <c r="A17" s="1216" t="s">
        <v>776</v>
      </c>
      <c r="B17" s="1217"/>
      <c r="C17" s="1217"/>
      <c r="D17" s="108">
        <v>6679</v>
      </c>
      <c r="E17" s="209">
        <v>2.52</v>
      </c>
      <c r="F17" s="209">
        <v>0.36</v>
      </c>
      <c r="G17" s="209">
        <v>0.12</v>
      </c>
      <c r="H17" s="209">
        <v>0.3</v>
      </c>
      <c r="I17" s="216">
        <f>(D17/100*E17*E5)/1000</f>
        <v>10.738229040000002</v>
      </c>
      <c r="J17" s="216">
        <f>(D17/100*F17*E7)/1000</f>
        <v>1.2568488768000001</v>
      </c>
      <c r="K17" s="216">
        <f>(D17/100*G17*E6)/1000</f>
        <v>0.33351987240000003</v>
      </c>
      <c r="L17" s="216">
        <f>(D17/100*H17*E8)/1000</f>
        <v>1.4996492280000004</v>
      </c>
      <c r="M17" s="217">
        <f t="shared" si="0"/>
        <v>13.828247017200002</v>
      </c>
    </row>
    <row r="18" spans="1:13" x14ac:dyDescent="0.35">
      <c r="A18" s="1220" t="s">
        <v>1048</v>
      </c>
      <c r="B18" s="1221"/>
      <c r="C18" s="1221"/>
      <c r="D18" s="368">
        <v>1692</v>
      </c>
      <c r="E18" s="209">
        <v>0.72</v>
      </c>
      <c r="F18" s="209">
        <v>0.12</v>
      </c>
      <c r="G18" s="209">
        <v>3.5999999999999997E-2</v>
      </c>
      <c r="H18" s="209">
        <v>0.12</v>
      </c>
      <c r="I18" s="216">
        <f>(D18/100*E18*E6)/1000</f>
        <v>0.50694621120000005</v>
      </c>
      <c r="J18" s="216">
        <f>(D18/100*F18*E8)/1000</f>
        <v>0.15196325760000001</v>
      </c>
      <c r="K18" s="216">
        <f>(D18/100*G18*E7)/1000</f>
        <v>3.1839920640000005E-2</v>
      </c>
      <c r="L18" s="216">
        <f>(D18/100*H18*E9)/1000</f>
        <v>0</v>
      </c>
      <c r="M18" s="217">
        <f t="shared" ref="M18" si="1">SUM(I18:L18)</f>
        <v>0.69074938944000008</v>
      </c>
    </row>
    <row r="19" spans="1:13" x14ac:dyDescent="0.35">
      <c r="A19" s="1216" t="s">
        <v>777</v>
      </c>
      <c r="B19" s="1217"/>
      <c r="C19" s="1217"/>
      <c r="D19" s="108">
        <v>8598</v>
      </c>
      <c r="E19" s="209">
        <v>2.64</v>
      </c>
      <c r="F19" s="209">
        <v>0.36</v>
      </c>
      <c r="G19" s="209">
        <v>0.12</v>
      </c>
      <c r="H19" s="209">
        <v>0.24</v>
      </c>
      <c r="I19" s="216">
        <f>(D19/100*E19*E5)/1000</f>
        <v>14.481783360000003</v>
      </c>
      <c r="J19" s="216">
        <f>(D19/100*F19*E7)/1000</f>
        <v>1.6179647616000001</v>
      </c>
      <c r="K19" s="216">
        <f>(D19/100*G19*E6)/1000</f>
        <v>0.42934628880000003</v>
      </c>
      <c r="L19" s="216">
        <f>(D19/100*H19*E8)/1000</f>
        <v>1.5444209088000003</v>
      </c>
      <c r="M19" s="217">
        <f t="shared" si="0"/>
        <v>18.073515319200006</v>
      </c>
    </row>
    <row r="20" spans="1:13" x14ac:dyDescent="0.35">
      <c r="A20" s="1218" t="s">
        <v>778</v>
      </c>
      <c r="B20" s="1218"/>
      <c r="C20" s="1218"/>
      <c r="D20" s="110">
        <v>4670</v>
      </c>
      <c r="E20" s="207">
        <v>2.64</v>
      </c>
      <c r="F20" s="207">
        <v>0.24</v>
      </c>
      <c r="G20" s="207">
        <v>0.06</v>
      </c>
      <c r="H20" s="207">
        <v>0.2</v>
      </c>
      <c r="I20" s="218">
        <f>(D20/100*E20*E15)/1000</f>
        <v>0.32548032000000005</v>
      </c>
      <c r="J20" s="218">
        <f>(D20/100*F20*E17)/1000</f>
        <v>2.8244160000000001E-2</v>
      </c>
      <c r="K20" s="218">
        <f>(D20/100*G20*E16)/1000</f>
        <v>7.39728E-3</v>
      </c>
      <c r="L20" s="218">
        <f>(D20/100*H20/1000)</f>
        <v>9.3400000000000011E-3</v>
      </c>
      <c r="M20" s="208">
        <f>SUM(I20:L20)</f>
        <v>0.37046176000000008</v>
      </c>
    </row>
    <row r="21" spans="1:13" x14ac:dyDescent="0.35">
      <c r="A21" s="212"/>
      <c r="B21" s="212"/>
      <c r="C21" s="212"/>
      <c r="D21" s="210"/>
      <c r="E21" s="210"/>
      <c r="F21" s="210"/>
      <c r="G21" s="210"/>
      <c r="H21" s="210"/>
      <c r="I21" s="213"/>
      <c r="J21" s="213"/>
      <c r="K21" s="213"/>
      <c r="L21" s="286"/>
      <c r="M21" s="287">
        <f>SUM(M13:M20)</f>
        <v>47.107944405040008</v>
      </c>
    </row>
    <row r="22" spans="1:13" x14ac:dyDescent="0.35">
      <c r="A22" s="212"/>
      <c r="B22" s="212"/>
      <c r="C22" s="212"/>
      <c r="D22" s="210"/>
      <c r="E22" s="210"/>
      <c r="F22" s="210"/>
      <c r="G22" s="210"/>
      <c r="H22" s="211" t="s">
        <v>779</v>
      </c>
      <c r="I22" s="213"/>
      <c r="J22" s="213"/>
      <c r="K22" s="213"/>
      <c r="L22" s="213"/>
      <c r="M22" s="214"/>
    </row>
    <row r="23" spans="1:13" x14ac:dyDescent="0.35">
      <c r="A23" s="1212" t="s">
        <v>764</v>
      </c>
      <c r="B23" s="1212"/>
      <c r="C23" s="1212"/>
      <c r="D23" s="1213" t="s">
        <v>765</v>
      </c>
      <c r="E23" s="1212" t="s">
        <v>766</v>
      </c>
      <c r="F23" s="1212"/>
      <c r="G23" s="1212"/>
      <c r="H23" s="1212"/>
      <c r="I23" s="1214" t="s">
        <v>767</v>
      </c>
      <c r="J23" s="1214"/>
      <c r="K23" s="1214"/>
      <c r="L23" s="1214"/>
      <c r="M23" s="1215" t="s">
        <v>768</v>
      </c>
    </row>
    <row r="24" spans="1:13" x14ac:dyDescent="0.35">
      <c r="A24" s="1212"/>
      <c r="B24" s="1212"/>
      <c r="C24" s="1212"/>
      <c r="D24" s="1213"/>
      <c r="E24" s="215" t="s">
        <v>769</v>
      </c>
      <c r="F24" s="215" t="s">
        <v>770</v>
      </c>
      <c r="G24" s="215" t="s">
        <v>771</v>
      </c>
      <c r="H24" s="215" t="s">
        <v>772</v>
      </c>
      <c r="I24" s="215" t="s">
        <v>769</v>
      </c>
      <c r="J24" s="215" t="s">
        <v>770</v>
      </c>
      <c r="K24" s="215" t="s">
        <v>771</v>
      </c>
      <c r="L24" s="215" t="s">
        <v>772</v>
      </c>
      <c r="M24" s="1215"/>
    </row>
    <row r="25" spans="1:13" x14ac:dyDescent="0.35">
      <c r="A25" s="1216" t="s">
        <v>780</v>
      </c>
      <c r="B25" s="1217"/>
      <c r="C25" s="1217"/>
      <c r="D25" s="110">
        <v>1801</v>
      </c>
      <c r="E25" s="209">
        <v>2.1</v>
      </c>
      <c r="F25" s="209">
        <v>0.3</v>
      </c>
      <c r="G25" s="209">
        <v>0.1</v>
      </c>
      <c r="H25" s="209">
        <v>0.25</v>
      </c>
      <c r="I25" s="216">
        <f>(D25/100*E25*E5)/1000</f>
        <v>2.4129798000000005</v>
      </c>
      <c r="J25" s="216">
        <f>(D25/100*F25*E7)/1000</f>
        <v>0.28242561600000005</v>
      </c>
      <c r="K25" s="216">
        <f>(D25/100*G25*E6)/1000</f>
        <v>7.4945013000000005E-2</v>
      </c>
      <c r="L25" s="216">
        <f>(D25/100*H25*E8)/1000</f>
        <v>0.33698511000000009</v>
      </c>
      <c r="M25" s="217">
        <f t="shared" si="0"/>
        <v>3.1073355390000006</v>
      </c>
    </row>
    <row r="26" spans="1:13" x14ac:dyDescent="0.35">
      <c r="A26" s="1216" t="s">
        <v>781</v>
      </c>
      <c r="B26" s="1217"/>
      <c r="C26" s="1217"/>
      <c r="D26" s="108">
        <v>4838</v>
      </c>
      <c r="E26" s="209">
        <v>0.72</v>
      </c>
      <c r="F26" s="209">
        <v>0.12</v>
      </c>
      <c r="G26" s="209">
        <v>3.5999999999999997E-2</v>
      </c>
      <c r="H26" s="209">
        <v>0.12</v>
      </c>
      <c r="I26" s="216">
        <f>(D26/100*E26*E5)/1000</f>
        <v>2.2223836800000001</v>
      </c>
      <c r="J26" s="216">
        <f>(D26/100*F26*E7)/1000</f>
        <v>0.30347032320000006</v>
      </c>
      <c r="K26" s="216">
        <f>(D26/100*G26*E6)/1000</f>
        <v>7.2476529839999998E-2</v>
      </c>
      <c r="L26" s="216">
        <f>(D26/100*H26*E8)/1000</f>
        <v>0.43451432640000009</v>
      </c>
      <c r="M26" s="217">
        <f>SUM(I26:L26)</f>
        <v>3.0328448594399999</v>
      </c>
    </row>
    <row r="27" spans="1:13" ht="15" thickBot="1" x14ac:dyDescent="0.4">
      <c r="A27" s="1226"/>
      <c r="B27" s="1226"/>
      <c r="C27" s="1226"/>
      <c r="D27" s="1226"/>
      <c r="E27" s="1226"/>
      <c r="F27" s="1226"/>
      <c r="G27" s="1226"/>
      <c r="H27" s="1226"/>
      <c r="I27" s="1226"/>
      <c r="J27" s="1226"/>
      <c r="K27" s="1226"/>
      <c r="L27" s="1226"/>
      <c r="M27" s="219">
        <f>SUM(M25:M26)</f>
        <v>6.1401803984400001</v>
      </c>
    </row>
    <row r="28" spans="1:13" ht="15" thickBot="1" x14ac:dyDescent="0.4">
      <c r="A28" s="1227" t="s">
        <v>15</v>
      </c>
      <c r="B28" s="1228"/>
      <c r="C28" s="1228"/>
      <c r="D28" s="1228"/>
      <c r="E28" s="1228"/>
      <c r="F28" s="1228"/>
      <c r="G28" s="1228"/>
      <c r="H28" s="1228"/>
      <c r="I28" s="1228"/>
      <c r="J28" s="1228"/>
      <c r="K28" s="1228"/>
      <c r="L28" s="1228"/>
      <c r="M28" s="220">
        <f>M21+M27</f>
        <v>53.24812480348001</v>
      </c>
    </row>
    <row r="29" spans="1:13" x14ac:dyDescent="0.35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86" t="s">
        <v>931</v>
      </c>
      <c r="M29" s="287">
        <v>53</v>
      </c>
    </row>
    <row r="30" spans="1:13" x14ac:dyDescent="0.35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</row>
    <row r="31" spans="1:13" x14ac:dyDescent="0.35">
      <c r="A31" s="46"/>
      <c r="B31" s="222"/>
      <c r="C31" s="46"/>
      <c r="D31" s="46"/>
      <c r="E31" s="46"/>
      <c r="F31" s="46"/>
      <c r="G31" s="46"/>
      <c r="H31" s="46"/>
      <c r="I31" s="46"/>
      <c r="J31" s="46"/>
      <c r="K31" s="46"/>
    </row>
    <row r="32" spans="1:13" x14ac:dyDescent="0.35">
      <c r="A32" s="46"/>
      <c r="B32" s="222"/>
      <c r="C32" s="46"/>
      <c r="D32" s="46"/>
      <c r="E32" s="46"/>
      <c r="F32" s="46"/>
      <c r="G32" s="46"/>
      <c r="H32" s="46"/>
      <c r="I32" s="46"/>
      <c r="J32" s="46"/>
      <c r="K32" s="46"/>
      <c r="L32" s="582"/>
      <c r="M32" s="583"/>
    </row>
    <row r="33" spans="1:13" x14ac:dyDescent="0.35">
      <c r="A33" s="46"/>
      <c r="B33" s="222"/>
      <c r="C33" s="46"/>
      <c r="D33" s="46"/>
      <c r="E33" s="46"/>
      <c r="F33" s="46"/>
      <c r="G33" s="46"/>
      <c r="H33" s="46"/>
      <c r="I33" s="46"/>
      <c r="J33" s="46"/>
      <c r="K33" s="46"/>
      <c r="L33" s="582"/>
      <c r="M33" s="583"/>
    </row>
    <row r="34" spans="1:13" x14ac:dyDescent="0.35">
      <c r="A34" s="46"/>
      <c r="B34" s="222" t="s">
        <v>782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x14ac:dyDescent="0.35">
      <c r="A35" s="46"/>
      <c r="B35" s="209" t="s">
        <v>783</v>
      </c>
      <c r="C35" s="209"/>
      <c r="D35" s="209">
        <f>64.8*1.1</f>
        <v>71.28</v>
      </c>
      <c r="E35" s="209" t="s">
        <v>784</v>
      </c>
      <c r="F35" s="209"/>
      <c r="G35" s="46"/>
      <c r="H35" s="46"/>
      <c r="I35" s="46"/>
      <c r="J35" s="46"/>
      <c r="K35" s="46"/>
      <c r="L35" s="46"/>
      <c r="M35" s="46"/>
    </row>
    <row r="36" spans="1:13" x14ac:dyDescent="0.35">
      <c r="A36" s="46"/>
      <c r="B36" s="209" t="s">
        <v>785</v>
      </c>
      <c r="C36" s="209"/>
      <c r="D36" s="209">
        <f>81*1.1</f>
        <v>89.100000000000009</v>
      </c>
      <c r="E36" s="209" t="s">
        <v>784</v>
      </c>
      <c r="F36" s="209"/>
      <c r="G36" s="46"/>
      <c r="H36" s="46"/>
      <c r="I36" s="46"/>
      <c r="J36" s="46"/>
      <c r="K36" s="46"/>
      <c r="L36" s="46"/>
      <c r="M36" s="46"/>
    </row>
    <row r="37" spans="1:13" x14ac:dyDescent="0.35">
      <c r="A37" s="46"/>
      <c r="B37" s="209" t="s">
        <v>786</v>
      </c>
      <c r="C37" s="209"/>
      <c r="D37" s="209">
        <f>1.1*194.4</f>
        <v>213.84000000000003</v>
      </c>
      <c r="E37" s="209" t="s">
        <v>784</v>
      </c>
      <c r="F37" s="209"/>
      <c r="G37" s="46"/>
      <c r="H37" s="46"/>
      <c r="I37" s="46"/>
      <c r="J37" s="46"/>
      <c r="K37" s="46"/>
      <c r="L37" s="46"/>
      <c r="M37" s="46"/>
    </row>
    <row r="38" spans="1:13" x14ac:dyDescent="0.3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x14ac:dyDescent="0.35">
      <c r="A39" s="223"/>
      <c r="B39" s="223"/>
      <c r="C39" s="223"/>
      <c r="D39" s="223"/>
      <c r="E39" s="210"/>
      <c r="F39" s="210"/>
      <c r="G39" s="211" t="s">
        <v>787</v>
      </c>
      <c r="H39" s="213"/>
      <c r="I39" s="210"/>
      <c r="J39" s="213"/>
      <c r="K39" s="224"/>
      <c r="L39" s="224"/>
      <c r="M39" s="224"/>
    </row>
    <row r="40" spans="1:13" x14ac:dyDescent="0.35">
      <c r="A40" s="1212" t="s">
        <v>788</v>
      </c>
      <c r="B40" s="1212"/>
      <c r="C40" s="1212"/>
      <c r="D40" s="1212"/>
      <c r="E40" s="1212" t="s">
        <v>789</v>
      </c>
      <c r="F40" s="1212"/>
      <c r="G40" s="1212"/>
      <c r="H40" s="1229" t="s">
        <v>790</v>
      </c>
      <c r="I40" s="1229"/>
      <c r="J40" s="1229"/>
      <c r="K40" s="1214" t="s">
        <v>791</v>
      </c>
      <c r="L40" s="1214"/>
      <c r="M40" s="1214"/>
    </row>
    <row r="41" spans="1:13" x14ac:dyDescent="0.35">
      <c r="A41" s="1212"/>
      <c r="B41" s="1212"/>
      <c r="C41" s="1212"/>
      <c r="D41" s="1212"/>
      <c r="E41" s="1222" t="s">
        <v>770</v>
      </c>
      <c r="F41" s="1222" t="s">
        <v>792</v>
      </c>
      <c r="G41" s="1222" t="s">
        <v>793</v>
      </c>
      <c r="H41" s="1222" t="s">
        <v>770</v>
      </c>
      <c r="I41" s="1222" t="s">
        <v>792</v>
      </c>
      <c r="J41" s="1222" t="s">
        <v>793</v>
      </c>
      <c r="K41" s="1214"/>
      <c r="L41" s="1214"/>
      <c r="M41" s="1214"/>
    </row>
    <row r="42" spans="1:13" x14ac:dyDescent="0.35">
      <c r="A42" s="1212"/>
      <c r="B42" s="1212"/>
      <c r="C42" s="1212"/>
      <c r="D42" s="1212"/>
      <c r="E42" s="1222"/>
      <c r="F42" s="1222"/>
      <c r="G42" s="1222"/>
      <c r="H42" s="1222"/>
      <c r="I42" s="1222"/>
      <c r="J42" s="1222"/>
      <c r="K42" s="1214"/>
      <c r="L42" s="1214"/>
      <c r="M42" s="1214"/>
    </row>
    <row r="43" spans="1:13" x14ac:dyDescent="0.35">
      <c r="A43" s="1223" t="s">
        <v>773</v>
      </c>
      <c r="B43" s="1224"/>
      <c r="C43" s="1224"/>
      <c r="D43" s="1224"/>
      <c r="E43" s="209">
        <v>8</v>
      </c>
      <c r="F43" s="209">
        <v>1</v>
      </c>
      <c r="G43" s="209">
        <v>0.5</v>
      </c>
      <c r="H43" s="216">
        <f>E43*D35/1000</f>
        <v>0.57023999999999997</v>
      </c>
      <c r="I43" s="209">
        <f>F43*D36/1000</f>
        <v>8.9100000000000013E-2</v>
      </c>
      <c r="J43" s="216">
        <f>G43*D37/1000</f>
        <v>0.10692000000000002</v>
      </c>
      <c r="K43" s="1214">
        <f t="shared" ref="K43:K57" si="2">H43+I43+J43</f>
        <v>0.76626000000000005</v>
      </c>
      <c r="L43" s="1214"/>
      <c r="M43" s="1225"/>
    </row>
    <row r="44" spans="1:13" x14ac:dyDescent="0.35">
      <c r="A44" s="1223" t="s">
        <v>774</v>
      </c>
      <c r="B44" s="1224"/>
      <c r="C44" s="1224"/>
      <c r="D44" s="1224"/>
      <c r="E44" s="209">
        <v>8</v>
      </c>
      <c r="F44" s="209">
        <v>1</v>
      </c>
      <c r="G44" s="209">
        <v>0.5</v>
      </c>
      <c r="H44" s="216">
        <f>E44*D35/1000</f>
        <v>0.57023999999999997</v>
      </c>
      <c r="I44" s="209">
        <f>F44*D36/1000</f>
        <v>8.9100000000000013E-2</v>
      </c>
      <c r="J44" s="216">
        <f>G44*D37/1000</f>
        <v>0.10692000000000002</v>
      </c>
      <c r="K44" s="1214">
        <f t="shared" si="2"/>
        <v>0.76626000000000005</v>
      </c>
      <c r="L44" s="1214"/>
      <c r="M44" s="1225"/>
    </row>
    <row r="45" spans="1:13" x14ac:dyDescent="0.35">
      <c r="A45" s="1230" t="s">
        <v>272</v>
      </c>
      <c r="B45" s="1231"/>
      <c r="C45" s="1231"/>
      <c r="D45" s="1232"/>
      <c r="E45" s="209">
        <v>8</v>
      </c>
      <c r="F45" s="209">
        <v>1</v>
      </c>
      <c r="G45" s="209">
        <v>0.5</v>
      </c>
      <c r="H45" s="216">
        <f>E45*D35/1000</f>
        <v>0.57023999999999997</v>
      </c>
      <c r="I45" s="209">
        <f>F45*D36/1000</f>
        <v>8.9100000000000013E-2</v>
      </c>
      <c r="J45" s="216">
        <f>G45*D37/1000</f>
        <v>0.10692000000000002</v>
      </c>
      <c r="K45" s="1214">
        <f t="shared" si="2"/>
        <v>0.76626000000000005</v>
      </c>
      <c r="L45" s="1214"/>
      <c r="M45" s="1225"/>
    </row>
    <row r="46" spans="1:13" x14ac:dyDescent="0.35">
      <c r="A46" s="1233" t="s">
        <v>775</v>
      </c>
      <c r="B46" s="1234"/>
      <c r="C46" s="1234"/>
      <c r="D46" s="1234"/>
      <c r="E46" s="209">
        <v>20</v>
      </c>
      <c r="F46" s="209">
        <v>3</v>
      </c>
      <c r="G46" s="209">
        <v>0.5</v>
      </c>
      <c r="H46" s="209">
        <f>E46*D35/1000</f>
        <v>1.4256</v>
      </c>
      <c r="I46" s="209">
        <f>F46*D36/1000</f>
        <v>0.26730000000000004</v>
      </c>
      <c r="J46" s="216">
        <f>G46*D37/1000</f>
        <v>0.10692000000000002</v>
      </c>
      <c r="K46" s="1214">
        <f t="shared" si="2"/>
        <v>1.79982</v>
      </c>
      <c r="L46" s="1214"/>
      <c r="M46" s="1225"/>
    </row>
    <row r="47" spans="1:13" x14ac:dyDescent="0.35">
      <c r="A47" s="1233" t="s">
        <v>776</v>
      </c>
      <c r="B47" s="1234"/>
      <c r="C47" s="1234"/>
      <c r="D47" s="1234"/>
      <c r="E47" s="209">
        <v>20</v>
      </c>
      <c r="F47" s="209">
        <v>3</v>
      </c>
      <c r="G47" s="209">
        <v>0.5</v>
      </c>
      <c r="H47" s="209">
        <f>E47*D35/1000</f>
        <v>1.4256</v>
      </c>
      <c r="I47" s="209">
        <f>F47*D36/1000</f>
        <v>0.26730000000000004</v>
      </c>
      <c r="J47" s="216">
        <f>G47*D37/1000</f>
        <v>0.10692000000000002</v>
      </c>
      <c r="K47" s="1214">
        <f t="shared" si="2"/>
        <v>1.79982</v>
      </c>
      <c r="L47" s="1214"/>
      <c r="M47" s="1225"/>
    </row>
    <row r="48" spans="1:13" x14ac:dyDescent="0.35">
      <c r="A48" s="1233" t="s">
        <v>777</v>
      </c>
      <c r="B48" s="1234"/>
      <c r="C48" s="1234"/>
      <c r="D48" s="1234"/>
      <c r="E48" s="209">
        <v>20</v>
      </c>
      <c r="F48" s="209">
        <v>3</v>
      </c>
      <c r="G48" s="209">
        <v>0.5</v>
      </c>
      <c r="H48" s="209">
        <f>E48*D35/1000</f>
        <v>1.4256</v>
      </c>
      <c r="I48" s="209">
        <f>F48*D36/1000</f>
        <v>0.26730000000000004</v>
      </c>
      <c r="J48" s="216">
        <f>G48*D37/1000</f>
        <v>0.10692000000000002</v>
      </c>
      <c r="K48" s="1214">
        <f t="shared" si="2"/>
        <v>1.79982</v>
      </c>
      <c r="L48" s="1214"/>
      <c r="M48" s="1225"/>
    </row>
    <row r="49" spans="1:13" x14ac:dyDescent="0.35">
      <c r="A49" s="1233" t="s">
        <v>273</v>
      </c>
      <c r="B49" s="1234"/>
      <c r="C49" s="1234"/>
      <c r="D49" s="1234"/>
      <c r="E49" s="209">
        <v>20</v>
      </c>
      <c r="F49" s="209">
        <v>3</v>
      </c>
      <c r="G49" s="209">
        <v>0.5</v>
      </c>
      <c r="H49" s="209">
        <f>E49*D35/1000</f>
        <v>1.4256</v>
      </c>
      <c r="I49" s="209">
        <f>F49*D36/1000</f>
        <v>0.26730000000000004</v>
      </c>
      <c r="J49" s="216">
        <f>G49*D37/1000</f>
        <v>0.10692000000000002</v>
      </c>
      <c r="K49" s="1214">
        <f t="shared" si="2"/>
        <v>1.79982</v>
      </c>
      <c r="L49" s="1214"/>
      <c r="M49" s="1225"/>
    </row>
    <row r="50" spans="1:13" x14ac:dyDescent="0.35">
      <c r="A50" s="1220" t="s">
        <v>1048</v>
      </c>
      <c r="B50" s="1221"/>
      <c r="C50" s="1221"/>
      <c r="D50" s="1237"/>
      <c r="E50" s="209">
        <v>4</v>
      </c>
      <c r="F50" s="209">
        <v>1</v>
      </c>
      <c r="G50" s="209">
        <v>0.5</v>
      </c>
      <c r="H50" s="209">
        <f>E50*D36/1000</f>
        <v>0.35640000000000005</v>
      </c>
      <c r="I50" s="209">
        <f>F50*D37/1000</f>
        <v>0.21384000000000003</v>
      </c>
      <c r="J50" s="216">
        <f>G50*D38/1000</f>
        <v>0</v>
      </c>
      <c r="K50" s="1214">
        <f t="shared" ref="K50" si="3">H50+I50+J50</f>
        <v>0.57024000000000008</v>
      </c>
      <c r="L50" s="1214"/>
      <c r="M50" s="1225"/>
    </row>
    <row r="51" spans="1:13" x14ac:dyDescent="0.35">
      <c r="A51" s="1223" t="s">
        <v>794</v>
      </c>
      <c r="B51" s="1224"/>
      <c r="C51" s="1224"/>
      <c r="D51" s="1224"/>
      <c r="E51" s="207">
        <v>8</v>
      </c>
      <c r="F51" s="207">
        <v>1</v>
      </c>
      <c r="G51" s="207">
        <v>0.5</v>
      </c>
      <c r="H51" s="218">
        <f>E51*D35/1000</f>
        <v>0.57023999999999997</v>
      </c>
      <c r="I51" s="207">
        <f>F51*D36/1000</f>
        <v>8.9100000000000013E-2</v>
      </c>
      <c r="J51" s="218">
        <f>G51*D37/1000</f>
        <v>0.10692000000000002</v>
      </c>
      <c r="K51" s="1235">
        <f>H51+I51+J51</f>
        <v>0.76626000000000005</v>
      </c>
      <c r="L51" s="1235"/>
      <c r="M51" s="1236"/>
    </row>
    <row r="52" spans="1:13" x14ac:dyDescent="0.35">
      <c r="A52" s="1238"/>
      <c r="B52" s="1239"/>
      <c r="C52" s="1239"/>
      <c r="D52" s="1240"/>
      <c r="E52" s="207"/>
      <c r="F52" s="207"/>
      <c r="G52" s="207"/>
      <c r="H52" s="218"/>
      <c r="I52" s="225"/>
      <c r="J52" s="218"/>
      <c r="K52" s="1241">
        <f>SUM(K43:K51)</f>
        <v>10.834560000000002</v>
      </c>
      <c r="L52" s="1242"/>
      <c r="M52" s="1243"/>
    </row>
    <row r="53" spans="1:13" x14ac:dyDescent="0.35">
      <c r="A53" s="1212" t="s">
        <v>788</v>
      </c>
      <c r="B53" s="1212"/>
      <c r="C53" s="1212"/>
      <c r="D53" s="1212"/>
      <c r="E53" s="1212" t="s">
        <v>789</v>
      </c>
      <c r="F53" s="1212"/>
      <c r="G53" s="1212"/>
      <c r="H53" s="1229" t="s">
        <v>790</v>
      </c>
      <c r="I53" s="1229"/>
      <c r="J53" s="1229"/>
      <c r="K53" s="1214" t="s">
        <v>791</v>
      </c>
      <c r="L53" s="1214"/>
      <c r="M53" s="1214"/>
    </row>
    <row r="54" spans="1:13" x14ac:dyDescent="0.35">
      <c r="A54" s="1212"/>
      <c r="B54" s="1212"/>
      <c r="C54" s="1212"/>
      <c r="D54" s="1212"/>
      <c r="E54" s="1222" t="s">
        <v>770</v>
      </c>
      <c r="F54" s="1222" t="s">
        <v>792</v>
      </c>
      <c r="G54" s="1222" t="s">
        <v>793</v>
      </c>
      <c r="H54" s="1222" t="s">
        <v>770</v>
      </c>
      <c r="I54" s="1222" t="s">
        <v>792</v>
      </c>
      <c r="J54" s="1222" t="s">
        <v>793</v>
      </c>
      <c r="K54" s="1214"/>
      <c r="L54" s="1214"/>
      <c r="M54" s="1214"/>
    </row>
    <row r="55" spans="1:13" x14ac:dyDescent="0.35">
      <c r="A55" s="1212"/>
      <c r="B55" s="1212"/>
      <c r="C55" s="1212"/>
      <c r="D55" s="1212"/>
      <c r="E55" s="1222"/>
      <c r="F55" s="1222"/>
      <c r="G55" s="1222"/>
      <c r="H55" s="1222"/>
      <c r="I55" s="1222"/>
      <c r="J55" s="1222"/>
      <c r="K55" s="1214"/>
      <c r="L55" s="1214"/>
      <c r="M55" s="1214"/>
    </row>
    <row r="56" spans="1:13" x14ac:dyDescent="0.35">
      <c r="A56" s="1234" t="s">
        <v>780</v>
      </c>
      <c r="B56" s="1234"/>
      <c r="C56" s="1234"/>
      <c r="D56" s="1234"/>
      <c r="E56" s="209">
        <v>22</v>
      </c>
      <c r="F56" s="209">
        <v>3</v>
      </c>
      <c r="G56" s="209">
        <v>0.5</v>
      </c>
      <c r="H56" s="216">
        <f>E56*D35/1000</f>
        <v>1.56816</v>
      </c>
      <c r="I56" s="209">
        <f>F56*D36/1000</f>
        <v>0.26730000000000004</v>
      </c>
      <c r="J56" s="216">
        <f>G56*D37/1000</f>
        <v>0.10692000000000002</v>
      </c>
      <c r="K56" s="1214">
        <f>H56+I56+J56</f>
        <v>1.94238</v>
      </c>
      <c r="L56" s="1214"/>
      <c r="M56" s="1214"/>
    </row>
    <row r="57" spans="1:13" ht="15" thickBot="1" x14ac:dyDescent="0.4">
      <c r="A57" s="1233" t="s">
        <v>781</v>
      </c>
      <c r="B57" s="1234"/>
      <c r="C57" s="1234"/>
      <c r="D57" s="1234"/>
      <c r="E57" s="209">
        <v>4</v>
      </c>
      <c r="F57" s="209">
        <v>1</v>
      </c>
      <c r="G57" s="209">
        <v>0.5</v>
      </c>
      <c r="H57" s="216">
        <f>E57*D35/1000</f>
        <v>0.28511999999999998</v>
      </c>
      <c r="I57" s="209">
        <f>F57*D36/1000</f>
        <v>8.9100000000000013E-2</v>
      </c>
      <c r="J57" s="216">
        <f>G57*D37/1000</f>
        <v>0.10692000000000002</v>
      </c>
      <c r="K57" s="1214">
        <f t="shared" si="2"/>
        <v>0.48114000000000001</v>
      </c>
      <c r="L57" s="1214"/>
      <c r="M57" s="1225"/>
    </row>
    <row r="58" spans="1:13" ht="15" thickBot="1" x14ac:dyDescent="0.4">
      <c r="A58" s="1244" t="s">
        <v>15</v>
      </c>
      <c r="B58" s="1245"/>
      <c r="C58" s="1245"/>
      <c r="D58" s="1245"/>
      <c r="E58" s="1245"/>
      <c r="F58" s="1245"/>
      <c r="G58" s="1245"/>
      <c r="H58" s="1245"/>
      <c r="I58" s="1245"/>
      <c r="J58" s="1245"/>
      <c r="K58" s="1246">
        <f>SUM(K56:K57)</f>
        <v>2.4235199999999999</v>
      </c>
      <c r="L58" s="1246"/>
      <c r="M58" s="1247"/>
    </row>
    <row r="59" spans="1:13" ht="15" thickBot="1" x14ac:dyDescent="0.4">
      <c r="A59" s="46"/>
      <c r="B59" s="46"/>
      <c r="C59" s="46"/>
      <c r="D59" s="46"/>
      <c r="E59" s="46"/>
      <c r="F59" s="46"/>
      <c r="G59" s="46"/>
      <c r="H59" s="46"/>
      <c r="I59" s="46"/>
      <c r="J59" s="226" t="s">
        <v>286</v>
      </c>
      <c r="K59" s="227"/>
      <c r="L59" s="288">
        <f>K52+K58</f>
        <v>13.258080000000001</v>
      </c>
      <c r="M59" s="46"/>
    </row>
    <row r="60" spans="1:13" x14ac:dyDescent="0.35">
      <c r="L60" s="286" t="s">
        <v>931</v>
      </c>
      <c r="M60" s="287">
        <v>13</v>
      </c>
    </row>
    <row r="63" spans="1:13" x14ac:dyDescent="0.35">
      <c r="A63" s="44" t="s">
        <v>1047</v>
      </c>
    </row>
  </sheetData>
  <mergeCells count="68">
    <mergeCell ref="A57:D57"/>
    <mergeCell ref="K57:M57"/>
    <mergeCell ref="A58:J58"/>
    <mergeCell ref="K58:M58"/>
    <mergeCell ref="G54:G55"/>
    <mergeCell ref="H54:H55"/>
    <mergeCell ref="I54:I55"/>
    <mergeCell ref="J54:J55"/>
    <mergeCell ref="A56:D56"/>
    <mergeCell ref="K56:M56"/>
    <mergeCell ref="A52:D52"/>
    <mergeCell ref="K52:M52"/>
    <mergeCell ref="A53:D55"/>
    <mergeCell ref="E53:G53"/>
    <mergeCell ref="H53:J53"/>
    <mergeCell ref="K53:M55"/>
    <mergeCell ref="E54:E55"/>
    <mergeCell ref="F54:F55"/>
    <mergeCell ref="A51:D51"/>
    <mergeCell ref="K51:M51"/>
    <mergeCell ref="A47:D47"/>
    <mergeCell ref="K47:M47"/>
    <mergeCell ref="A48:D48"/>
    <mergeCell ref="K48:M48"/>
    <mergeCell ref="A49:D49"/>
    <mergeCell ref="K49:M49"/>
    <mergeCell ref="A50:D50"/>
    <mergeCell ref="K50:M50"/>
    <mergeCell ref="A44:D44"/>
    <mergeCell ref="K44:M44"/>
    <mergeCell ref="A45:D45"/>
    <mergeCell ref="K45:M45"/>
    <mergeCell ref="A46:D46"/>
    <mergeCell ref="K46:M46"/>
    <mergeCell ref="I41:I42"/>
    <mergeCell ref="J41:J42"/>
    <mergeCell ref="A43:D43"/>
    <mergeCell ref="K43:M43"/>
    <mergeCell ref="A27:L27"/>
    <mergeCell ref="A28:L28"/>
    <mergeCell ref="A40:D42"/>
    <mergeCell ref="E40:G40"/>
    <mergeCell ref="H40:J40"/>
    <mergeCell ref="K40:M42"/>
    <mergeCell ref="E41:E42"/>
    <mergeCell ref="F41:F42"/>
    <mergeCell ref="G41:G42"/>
    <mergeCell ref="H41:H42"/>
    <mergeCell ref="D23:D24"/>
    <mergeCell ref="E23:H23"/>
    <mergeCell ref="I23:L23"/>
    <mergeCell ref="M23:M24"/>
    <mergeCell ref="A25:C25"/>
    <mergeCell ref="A26:C26"/>
    <mergeCell ref="A20:C20"/>
    <mergeCell ref="A23:C24"/>
    <mergeCell ref="A13:C13"/>
    <mergeCell ref="A14:C14"/>
    <mergeCell ref="A15:C15"/>
    <mergeCell ref="A16:C16"/>
    <mergeCell ref="A17:C17"/>
    <mergeCell ref="A19:C19"/>
    <mergeCell ref="A18:C18"/>
    <mergeCell ref="A11:C12"/>
    <mergeCell ref="D11:D12"/>
    <mergeCell ref="E11:H11"/>
    <mergeCell ref="I11:L11"/>
    <mergeCell ref="M11:M12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H23" sqref="A1:H23"/>
    </sheetView>
  </sheetViews>
  <sheetFormatPr defaultRowHeight="14.5" x14ac:dyDescent="0.35"/>
  <cols>
    <col min="1" max="1" width="23.7265625" customWidth="1"/>
    <col min="2" max="2" width="10.1796875" customWidth="1"/>
    <col min="3" max="3" width="9.1796875" customWidth="1"/>
    <col min="4" max="4" width="9.54296875" customWidth="1"/>
    <col min="5" max="5" width="7.453125" customWidth="1"/>
    <col min="6" max="6" width="14" customWidth="1"/>
    <col min="7" max="7" width="7.1796875" customWidth="1"/>
    <col min="8" max="8" width="12.6328125" customWidth="1"/>
    <col min="9" max="9" width="7.1796875" customWidth="1"/>
    <col min="10" max="12" width="10.7265625" customWidth="1"/>
  </cols>
  <sheetData>
    <row r="1" spans="1:9" x14ac:dyDescent="0.35">
      <c r="A1" s="479" t="s">
        <v>1188</v>
      </c>
      <c r="B1" s="479"/>
      <c r="C1" s="44"/>
      <c r="D1" s="44"/>
      <c r="E1" s="44"/>
    </row>
    <row r="2" spans="1:9" x14ac:dyDescent="0.35">
      <c r="A2" s="44"/>
      <c r="B2" s="44"/>
      <c r="C2" s="44"/>
      <c r="D2" s="480"/>
      <c r="E2" s="44"/>
    </row>
    <row r="3" spans="1:9" ht="29" x14ac:dyDescent="0.35">
      <c r="A3" s="109" t="s">
        <v>1187</v>
      </c>
      <c r="B3" s="108" t="s">
        <v>320</v>
      </c>
      <c r="C3" s="44"/>
      <c r="D3" s="44"/>
      <c r="E3" s="44"/>
    </row>
    <row r="4" spans="1:9" x14ac:dyDescent="0.35">
      <c r="A4" s="108" t="s">
        <v>795</v>
      </c>
      <c r="B4" s="108">
        <v>34</v>
      </c>
      <c r="C4" s="44"/>
      <c r="D4" s="44"/>
      <c r="E4" s="44"/>
    </row>
    <row r="5" spans="1:9" x14ac:dyDescent="0.35">
      <c r="A5" s="108" t="s">
        <v>796</v>
      </c>
      <c r="B5" s="108">
        <v>38</v>
      </c>
      <c r="C5" s="44"/>
      <c r="D5" s="44"/>
      <c r="E5" s="44"/>
      <c r="G5" s="44"/>
      <c r="H5" s="44"/>
      <c r="I5" s="44"/>
    </row>
    <row r="6" spans="1:9" ht="15" thickBot="1" x14ac:dyDescent="0.4">
      <c r="A6" s="108" t="s">
        <v>1049</v>
      </c>
      <c r="B6" s="108">
        <v>34</v>
      </c>
      <c r="C6" s="44"/>
      <c r="D6" s="44"/>
      <c r="E6" s="44"/>
      <c r="H6" s="85" t="s">
        <v>1186</v>
      </c>
    </row>
    <row r="7" spans="1:9" ht="15" customHeight="1" x14ac:dyDescent="0.35">
      <c r="A7" s="1250" t="s">
        <v>797</v>
      </c>
      <c r="B7" s="1251" t="s">
        <v>798</v>
      </c>
      <c r="C7" s="1252" t="s">
        <v>1185</v>
      </c>
      <c r="D7" s="1252" t="s">
        <v>799</v>
      </c>
      <c r="E7" s="1248" t="s">
        <v>800</v>
      </c>
      <c r="F7" s="228" t="s">
        <v>801</v>
      </c>
      <c r="G7" s="1248" t="s">
        <v>935</v>
      </c>
      <c r="H7" s="229" t="s">
        <v>802</v>
      </c>
    </row>
    <row r="8" spans="1:9" ht="27" thickBot="1" x14ac:dyDescent="0.4">
      <c r="A8" s="1250"/>
      <c r="B8" s="1251"/>
      <c r="C8" s="1253"/>
      <c r="D8" s="1253"/>
      <c r="E8" s="1254"/>
      <c r="F8" s="277" t="s">
        <v>803</v>
      </c>
      <c r="G8" s="1249"/>
      <c r="H8" s="274" t="s">
        <v>804</v>
      </c>
    </row>
    <row r="9" spans="1:9" x14ac:dyDescent="0.35">
      <c r="A9" s="278" t="s">
        <v>806</v>
      </c>
      <c r="B9" s="279" t="s">
        <v>805</v>
      </c>
      <c r="C9" s="280">
        <v>14000</v>
      </c>
      <c r="D9" s="279">
        <v>22.1</v>
      </c>
      <c r="E9" s="279"/>
      <c r="F9" s="110">
        <f t="shared" ref="F9:F12" si="0">C9*D9/100</f>
        <v>3094</v>
      </c>
      <c r="G9" s="281">
        <v>34</v>
      </c>
      <c r="H9" s="282">
        <f t="shared" ref="H9:H19" si="1">F9*G9</f>
        <v>105196</v>
      </c>
    </row>
    <row r="10" spans="1:9" x14ac:dyDescent="0.35">
      <c r="A10" s="230" t="s">
        <v>807</v>
      </c>
      <c r="B10" s="108" t="s">
        <v>805</v>
      </c>
      <c r="C10" s="231">
        <v>16200</v>
      </c>
      <c r="D10" s="108">
        <v>20.75</v>
      </c>
      <c r="E10" s="108"/>
      <c r="F10" s="110">
        <f t="shared" si="0"/>
        <v>3361.5</v>
      </c>
      <c r="G10" s="273">
        <v>34</v>
      </c>
      <c r="H10" s="275">
        <f t="shared" si="1"/>
        <v>114291</v>
      </c>
    </row>
    <row r="11" spans="1:9" x14ac:dyDescent="0.35">
      <c r="A11" s="230" t="s">
        <v>272</v>
      </c>
      <c r="B11" s="108" t="s">
        <v>805</v>
      </c>
      <c r="C11" s="231">
        <v>10800</v>
      </c>
      <c r="D11" s="108">
        <v>27.65</v>
      </c>
      <c r="E11" s="108"/>
      <c r="F11" s="110">
        <f t="shared" si="0"/>
        <v>2986.2</v>
      </c>
      <c r="G11" s="273">
        <v>34</v>
      </c>
      <c r="H11" s="275">
        <f t="shared" si="1"/>
        <v>101530.79999999999</v>
      </c>
    </row>
    <row r="12" spans="1:9" x14ac:dyDescent="0.35">
      <c r="A12" s="230" t="s">
        <v>808</v>
      </c>
      <c r="B12" s="108" t="s">
        <v>805</v>
      </c>
      <c r="C12" s="231">
        <v>2050</v>
      </c>
      <c r="D12" s="108">
        <v>47.7</v>
      </c>
      <c r="E12" s="108"/>
      <c r="F12" s="110">
        <f t="shared" si="0"/>
        <v>977.85</v>
      </c>
      <c r="G12" s="273">
        <v>34</v>
      </c>
      <c r="H12" s="275">
        <f t="shared" si="1"/>
        <v>33246.9</v>
      </c>
    </row>
    <row r="13" spans="1:9" x14ac:dyDescent="0.35">
      <c r="A13" s="230" t="s">
        <v>809</v>
      </c>
      <c r="B13" s="108" t="s">
        <v>805</v>
      </c>
      <c r="C13" s="231" t="s">
        <v>813</v>
      </c>
      <c r="D13" s="108">
        <v>50.8</v>
      </c>
      <c r="E13" s="108">
        <v>24</v>
      </c>
      <c r="F13" s="108">
        <v>6679</v>
      </c>
      <c r="G13" s="273">
        <v>34</v>
      </c>
      <c r="H13" s="275">
        <f t="shared" si="1"/>
        <v>227086</v>
      </c>
    </row>
    <row r="14" spans="1:9" x14ac:dyDescent="0.35">
      <c r="A14" s="230" t="s">
        <v>810</v>
      </c>
      <c r="B14" s="108" t="s">
        <v>805</v>
      </c>
      <c r="C14" s="231" t="s">
        <v>1184</v>
      </c>
      <c r="D14" s="108">
        <v>75.599999999999994</v>
      </c>
      <c r="E14" s="108">
        <v>13.15</v>
      </c>
      <c r="F14" s="108">
        <f>3200*D14/100+582*E14</f>
        <v>10072.5</v>
      </c>
      <c r="G14" s="273">
        <v>34</v>
      </c>
      <c r="H14" s="275">
        <f t="shared" si="1"/>
        <v>342465</v>
      </c>
    </row>
    <row r="15" spans="1:9" x14ac:dyDescent="0.35">
      <c r="A15" s="230" t="s">
        <v>273</v>
      </c>
      <c r="B15" s="108" t="s">
        <v>805</v>
      </c>
      <c r="C15" s="231" t="s">
        <v>1183</v>
      </c>
      <c r="D15" s="108">
        <v>51.75</v>
      </c>
      <c r="E15" s="108">
        <v>13.2</v>
      </c>
      <c r="F15" s="108">
        <f>3400*D15/100+542*E15</f>
        <v>8913.9</v>
      </c>
      <c r="G15" s="273">
        <v>34</v>
      </c>
      <c r="H15" s="275">
        <f t="shared" si="1"/>
        <v>303072.59999999998</v>
      </c>
    </row>
    <row r="16" spans="1:9" x14ac:dyDescent="0.35">
      <c r="A16" s="230" t="s">
        <v>274</v>
      </c>
      <c r="B16" s="108" t="s">
        <v>805</v>
      </c>
      <c r="C16" s="108">
        <v>4560</v>
      </c>
      <c r="D16" s="108">
        <v>39.5</v>
      </c>
      <c r="E16" s="108"/>
      <c r="F16" s="110">
        <f>C16*D16/100</f>
        <v>1801.2</v>
      </c>
      <c r="G16" s="273">
        <v>34</v>
      </c>
      <c r="H16" s="275">
        <f t="shared" si="1"/>
        <v>61240.800000000003</v>
      </c>
    </row>
    <row r="17" spans="1:8" x14ac:dyDescent="0.35">
      <c r="A17" s="230" t="s">
        <v>275</v>
      </c>
      <c r="B17" s="108" t="s">
        <v>811</v>
      </c>
      <c r="C17" s="108">
        <v>35360</v>
      </c>
      <c r="D17" s="108">
        <v>18.2</v>
      </c>
      <c r="E17" s="108"/>
      <c r="F17" s="110">
        <f t="shared" ref="F17:F19" si="2">C17*D17/100</f>
        <v>6435.52</v>
      </c>
      <c r="G17" s="273">
        <v>38</v>
      </c>
      <c r="H17" s="275">
        <f t="shared" si="1"/>
        <v>244549.76000000001</v>
      </c>
    </row>
    <row r="18" spans="1:8" x14ac:dyDescent="0.35">
      <c r="A18" s="230" t="s">
        <v>812</v>
      </c>
      <c r="B18" s="108" t="s">
        <v>805</v>
      </c>
      <c r="C18" s="108">
        <v>32600</v>
      </c>
      <c r="D18" s="108">
        <v>20.25</v>
      </c>
      <c r="E18" s="108"/>
      <c r="F18" s="110">
        <f t="shared" si="2"/>
        <v>6601.5</v>
      </c>
      <c r="G18" s="273">
        <v>34</v>
      </c>
      <c r="H18" s="275">
        <f t="shared" si="1"/>
        <v>224451</v>
      </c>
    </row>
    <row r="19" spans="1:8" x14ac:dyDescent="0.35">
      <c r="A19" s="276" t="s">
        <v>1048</v>
      </c>
      <c r="B19" s="108" t="s">
        <v>1049</v>
      </c>
      <c r="C19" s="231">
        <v>5400</v>
      </c>
      <c r="D19" s="108">
        <v>12.8</v>
      </c>
      <c r="E19" s="108"/>
      <c r="F19" s="110">
        <f t="shared" si="2"/>
        <v>691.2</v>
      </c>
      <c r="G19" s="108">
        <v>34</v>
      </c>
      <c r="H19" s="275">
        <f t="shared" si="1"/>
        <v>23500.800000000003</v>
      </c>
    </row>
    <row r="20" spans="1:8" ht="15" thickBot="1" x14ac:dyDescent="0.4">
      <c r="A20" s="232"/>
      <c r="B20" s="283"/>
      <c r="C20" s="283"/>
      <c r="D20" s="283"/>
      <c r="E20" s="283"/>
      <c r="F20" s="283"/>
      <c r="G20" s="283"/>
      <c r="H20" s="284">
        <f>SUM(H9:H19)</f>
        <v>1780630.66</v>
      </c>
    </row>
    <row r="23" spans="1:8" x14ac:dyDescent="0.35">
      <c r="A23" s="44" t="s">
        <v>1047</v>
      </c>
    </row>
  </sheetData>
  <mergeCells count="6">
    <mergeCell ref="G7:G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19" sqref="A1:G19"/>
    </sheetView>
  </sheetViews>
  <sheetFormatPr defaultRowHeight="14.5" x14ac:dyDescent="0.35"/>
  <cols>
    <col min="1" max="1" width="2.81640625" customWidth="1"/>
    <col min="2" max="2" width="5.1796875" customWidth="1"/>
    <col min="6" max="6" width="24.453125" customWidth="1"/>
  </cols>
  <sheetData>
    <row r="1" spans="1:7" x14ac:dyDescent="0.35">
      <c r="A1" s="44"/>
      <c r="B1" s="44" t="s">
        <v>936</v>
      </c>
      <c r="C1" s="44"/>
      <c r="D1" s="44"/>
      <c r="E1" s="44"/>
      <c r="F1" s="44"/>
      <c r="G1" s="44"/>
    </row>
    <row r="2" spans="1:7" x14ac:dyDescent="0.35">
      <c r="A2" s="44"/>
      <c r="B2" s="44"/>
      <c r="C2" s="44"/>
      <c r="D2" s="44"/>
      <c r="E2" s="44"/>
      <c r="F2" s="44"/>
      <c r="G2" s="44"/>
    </row>
    <row r="3" spans="1:7" x14ac:dyDescent="0.35">
      <c r="A3" s="44"/>
      <c r="B3" s="44"/>
      <c r="C3" s="44"/>
      <c r="D3" s="44"/>
      <c r="E3" s="44"/>
      <c r="F3" s="44"/>
      <c r="G3" s="44"/>
    </row>
    <row r="4" spans="1:7" x14ac:dyDescent="0.35">
      <c r="A4" s="44"/>
      <c r="B4" s="44"/>
      <c r="C4" s="44"/>
      <c r="D4" s="44"/>
      <c r="E4" s="44"/>
      <c r="F4" s="44"/>
      <c r="G4" s="44" t="s">
        <v>931</v>
      </c>
    </row>
    <row r="5" spans="1:7" x14ac:dyDescent="0.35">
      <c r="A5" s="44"/>
      <c r="B5" s="108">
        <v>1</v>
      </c>
      <c r="C5" s="1255" t="s">
        <v>1052</v>
      </c>
      <c r="D5" s="1221"/>
      <c r="E5" s="1221"/>
      <c r="F5" s="1237"/>
      <c r="G5" s="108">
        <v>1680</v>
      </c>
    </row>
    <row r="6" spans="1:7" x14ac:dyDescent="0.35">
      <c r="A6" s="44"/>
      <c r="B6" s="236">
        <v>2</v>
      </c>
      <c r="C6" s="1256" t="s">
        <v>1020</v>
      </c>
      <c r="D6" s="1256"/>
      <c r="E6" s="1256"/>
      <c r="F6" s="1256"/>
      <c r="G6" s="236">
        <v>42</v>
      </c>
    </row>
    <row r="7" spans="1:7" x14ac:dyDescent="0.35">
      <c r="A7" s="44"/>
      <c r="B7" s="236">
        <v>3</v>
      </c>
      <c r="C7" s="1255" t="s">
        <v>1050</v>
      </c>
      <c r="D7" s="1221"/>
      <c r="E7" s="1221"/>
      <c r="F7" s="1237"/>
      <c r="G7" s="236">
        <v>1755</v>
      </c>
    </row>
    <row r="8" spans="1:7" x14ac:dyDescent="0.35">
      <c r="A8" s="44"/>
      <c r="B8" s="236">
        <v>4</v>
      </c>
      <c r="C8" s="350" t="s">
        <v>1051</v>
      </c>
      <c r="D8" s="351"/>
      <c r="E8" s="351"/>
      <c r="F8" s="352"/>
      <c r="G8" s="236">
        <v>4000</v>
      </c>
    </row>
    <row r="9" spans="1:7" x14ac:dyDescent="0.35">
      <c r="A9" s="44"/>
      <c r="B9" s="108">
        <v>5</v>
      </c>
      <c r="C9" s="1129" t="s">
        <v>1021</v>
      </c>
      <c r="D9" s="1129"/>
      <c r="E9" s="1129"/>
      <c r="F9" s="1129"/>
      <c r="G9" s="108">
        <v>3169</v>
      </c>
    </row>
    <row r="10" spans="1:7" x14ac:dyDescent="0.35">
      <c r="A10" s="44"/>
      <c r="B10" s="108">
        <v>6</v>
      </c>
      <c r="C10" s="726" t="s">
        <v>1362</v>
      </c>
      <c r="D10" s="724"/>
      <c r="E10" s="724"/>
      <c r="F10" s="725" t="s">
        <v>1366</v>
      </c>
      <c r="G10" s="110">
        <f>(245362.1/1.18+251646.99/1.18+198374.19)/3/1000*2</f>
        <v>413.04555604519771</v>
      </c>
    </row>
    <row r="11" spans="1:7" x14ac:dyDescent="0.35">
      <c r="A11" s="44"/>
      <c r="B11" s="108">
        <v>7</v>
      </c>
      <c r="C11" s="726" t="s">
        <v>1363</v>
      </c>
      <c r="D11" s="724"/>
      <c r="E11" s="724"/>
      <c r="F11" s="725" t="s">
        <v>1368</v>
      </c>
      <c r="G11" s="110">
        <f>(312633.93/1.18+320641.96/1.18+252763.18)/3/1000*6</f>
        <v>1578.8753261016948</v>
      </c>
    </row>
    <row r="12" spans="1:7" x14ac:dyDescent="0.35">
      <c r="A12" s="44"/>
      <c r="B12" s="108">
        <v>8</v>
      </c>
      <c r="C12" s="726" t="s">
        <v>1364</v>
      </c>
      <c r="D12" s="724"/>
      <c r="E12" s="724"/>
      <c r="F12" s="725" t="s">
        <v>1367</v>
      </c>
      <c r="G12" s="110">
        <f>(449751.06/1.18+461271.31/1.18+363621.79)/3/1000*4</f>
        <v>1514.2328612429378</v>
      </c>
    </row>
    <row r="13" spans="1:7" x14ac:dyDescent="0.35">
      <c r="A13" s="44"/>
      <c r="B13" s="108">
        <v>9</v>
      </c>
      <c r="C13" s="726" t="s">
        <v>1365</v>
      </c>
      <c r="D13" s="724"/>
      <c r="E13" s="724"/>
      <c r="F13" s="725" t="s">
        <v>1366</v>
      </c>
      <c r="G13" s="110">
        <f>(650896.21/1.18+667568.74/1.18+526246.76)/3/1000*2</f>
        <v>1095.7266253107346</v>
      </c>
    </row>
    <row r="14" spans="1:7" x14ac:dyDescent="0.35">
      <c r="A14" s="44"/>
      <c r="B14" s="108">
        <v>10</v>
      </c>
      <c r="C14" s="726" t="s">
        <v>1369</v>
      </c>
      <c r="D14" s="724"/>
      <c r="E14" s="724"/>
      <c r="F14" s="725"/>
      <c r="G14" s="110">
        <v>6009</v>
      </c>
    </row>
    <row r="15" spans="1:7" x14ac:dyDescent="0.35">
      <c r="A15" s="44"/>
      <c r="B15" s="108"/>
      <c r="C15" s="1191" t="s">
        <v>1333</v>
      </c>
      <c r="D15" s="1192"/>
      <c r="E15" s="1192"/>
      <c r="F15" s="1193"/>
      <c r="G15" s="110">
        <f>SUM(G5:G14)</f>
        <v>21256.880368700564</v>
      </c>
    </row>
    <row r="16" spans="1:7" x14ac:dyDescent="0.35">
      <c r="A16" s="44"/>
      <c r="B16" s="241"/>
      <c r="C16" s="746"/>
      <c r="D16" s="746"/>
      <c r="E16" s="746"/>
      <c r="F16" s="746"/>
      <c r="G16" s="747"/>
    </row>
    <row r="17" spans="1:7" x14ac:dyDescent="0.35">
      <c r="A17" s="44"/>
      <c r="B17" s="241"/>
      <c r="C17" s="746"/>
      <c r="D17" s="746"/>
      <c r="E17" s="746"/>
      <c r="F17" s="746"/>
      <c r="G17" s="747"/>
    </row>
    <row r="18" spans="1:7" x14ac:dyDescent="0.35">
      <c r="A18" s="44"/>
      <c r="B18" s="44"/>
      <c r="C18" s="44"/>
      <c r="D18" s="44"/>
      <c r="E18" s="44"/>
      <c r="F18" s="44"/>
      <c r="G18" s="44"/>
    </row>
    <row r="19" spans="1:7" x14ac:dyDescent="0.35">
      <c r="A19" s="44"/>
      <c r="B19" s="44" t="s">
        <v>1047</v>
      </c>
      <c r="C19" s="44"/>
      <c r="D19" s="44"/>
      <c r="E19" s="44"/>
      <c r="F19" s="44"/>
      <c r="G19" s="44"/>
    </row>
  </sheetData>
  <mergeCells count="5">
    <mergeCell ref="C15:F15"/>
    <mergeCell ref="C5:F5"/>
    <mergeCell ref="C6:F6"/>
    <mergeCell ref="C9:F9"/>
    <mergeCell ref="C7:F7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D19" sqref="A1:D19"/>
    </sheetView>
  </sheetViews>
  <sheetFormatPr defaultRowHeight="14.5" x14ac:dyDescent="0.35"/>
  <cols>
    <col min="1" max="1" width="8.81640625" customWidth="1"/>
    <col min="2" max="2" width="39.1796875" customWidth="1"/>
    <col min="3" max="4" width="21.36328125" customWidth="1"/>
  </cols>
  <sheetData>
    <row r="1" spans="1:3" ht="15.5" x14ac:dyDescent="0.35">
      <c r="A1" s="249"/>
      <c r="B1" s="249"/>
      <c r="C1" s="249"/>
    </row>
    <row r="2" spans="1:3" ht="15.5" customHeight="1" x14ac:dyDescent="0.35">
      <c r="A2" s="1260" t="s">
        <v>1337</v>
      </c>
      <c r="B2" s="1260"/>
      <c r="C2" s="1260"/>
    </row>
    <row r="3" spans="1:3" ht="15.75" customHeight="1" x14ac:dyDescent="0.35">
      <c r="A3" s="1260"/>
      <c r="B3" s="1260"/>
      <c r="C3" s="1260"/>
    </row>
    <row r="4" spans="1:3" ht="15.75" customHeight="1" x14ac:dyDescent="0.35">
      <c r="A4" s="699"/>
      <c r="B4" s="699"/>
      <c r="C4" s="699"/>
    </row>
    <row r="5" spans="1:3" ht="15.5" customHeight="1" x14ac:dyDescent="0.35">
      <c r="A5" s="459"/>
      <c r="B5" s="459" t="s">
        <v>238</v>
      </c>
      <c r="C5" s="698" t="s">
        <v>428</v>
      </c>
    </row>
    <row r="6" spans="1:3" ht="15.5" x14ac:dyDescent="0.35">
      <c r="A6" s="460"/>
      <c r="B6" s="460"/>
      <c r="C6" s="460"/>
    </row>
    <row r="7" spans="1:3" x14ac:dyDescent="0.35">
      <c r="A7" s="1257" t="s">
        <v>883</v>
      </c>
      <c r="B7" s="1257" t="s">
        <v>209</v>
      </c>
      <c r="C7" s="1258" t="s">
        <v>1338</v>
      </c>
    </row>
    <row r="8" spans="1:3" ht="30" customHeight="1" x14ac:dyDescent="0.35">
      <c r="A8" s="1257"/>
      <c r="B8" s="1257"/>
      <c r="C8" s="1259"/>
    </row>
    <row r="9" spans="1:3" ht="42" x14ac:dyDescent="0.35">
      <c r="A9" s="250" t="s">
        <v>30</v>
      </c>
      <c r="B9" s="251" t="s">
        <v>1339</v>
      </c>
      <c r="C9" s="461">
        <v>298174903</v>
      </c>
    </row>
    <row r="10" spans="1:3" ht="28.5" x14ac:dyDescent="0.35">
      <c r="A10" s="253" t="s">
        <v>32</v>
      </c>
      <c r="B10" s="254" t="s">
        <v>1342</v>
      </c>
      <c r="C10" s="461">
        <v>21256773</v>
      </c>
    </row>
    <row r="11" spans="1:3" ht="28.5" x14ac:dyDescent="0.35">
      <c r="A11" s="253" t="s">
        <v>34</v>
      </c>
      <c r="B11" s="254" t="s">
        <v>884</v>
      </c>
      <c r="C11" s="252">
        <f>'[1]17.транспорт'!D10+'[1]17 сбыт'!D10</f>
        <v>0</v>
      </c>
    </row>
    <row r="12" spans="1:3" ht="28.5" x14ac:dyDescent="0.35">
      <c r="A12" s="250" t="s">
        <v>227</v>
      </c>
      <c r="B12" s="254" t="s">
        <v>1340</v>
      </c>
      <c r="C12" s="252">
        <f>C9+C10</f>
        <v>319431676</v>
      </c>
    </row>
    <row r="13" spans="1:3" x14ac:dyDescent="0.35">
      <c r="A13" s="253" t="s">
        <v>300</v>
      </c>
      <c r="B13" s="254" t="s">
        <v>885</v>
      </c>
      <c r="C13" s="255">
        <f>C14/C12%</f>
        <v>4.1791572354896953</v>
      </c>
    </row>
    <row r="14" spans="1:3" x14ac:dyDescent="0.35">
      <c r="A14" s="253" t="s">
        <v>302</v>
      </c>
      <c r="B14" s="254" t="s">
        <v>1341</v>
      </c>
      <c r="C14" s="252">
        <v>13349552</v>
      </c>
    </row>
    <row r="15" spans="1:3" x14ac:dyDescent="0.35">
      <c r="A15" s="727"/>
      <c r="B15" s="728"/>
      <c r="C15" s="729"/>
    </row>
    <row r="16" spans="1:3" x14ac:dyDescent="0.35">
      <c r="A16" s="727"/>
      <c r="B16" s="728"/>
      <c r="C16" s="729"/>
    </row>
    <row r="18" spans="2:2" x14ac:dyDescent="0.35">
      <c r="B18" t="s">
        <v>934</v>
      </c>
    </row>
  </sheetData>
  <mergeCells count="4">
    <mergeCell ref="A7:A8"/>
    <mergeCell ref="B7:B8"/>
    <mergeCell ref="C7:C8"/>
    <mergeCell ref="A2:C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selection activeCell="G97" sqref="A1:G97"/>
    </sheetView>
  </sheetViews>
  <sheetFormatPr defaultRowHeight="11.5" x14ac:dyDescent="0.3"/>
  <cols>
    <col min="1" max="1" width="33.7265625" style="517" customWidth="1"/>
    <col min="2" max="2" width="10.36328125" style="517" customWidth="1"/>
    <col min="3" max="3" width="8.7265625" style="517"/>
    <col min="4" max="4" width="11" style="517" customWidth="1"/>
    <col min="5" max="5" width="8.453125" style="517" customWidth="1"/>
    <col min="6" max="6" width="8.7265625" style="517"/>
    <col min="7" max="7" width="1.6328125" style="517" customWidth="1"/>
    <col min="8" max="16384" width="8.7265625" style="517"/>
  </cols>
  <sheetData>
    <row r="1" spans="1:7" x14ac:dyDescent="0.3">
      <c r="A1" s="945" t="s">
        <v>1137</v>
      </c>
      <c r="B1" s="945"/>
      <c r="C1" s="945"/>
      <c r="D1" s="945"/>
      <c r="E1" s="945"/>
      <c r="F1" s="945"/>
      <c r="G1" s="516"/>
    </row>
    <row r="2" spans="1:7" ht="14.5" customHeight="1" x14ac:dyDescent="0.3">
      <c r="A2" s="946" t="s">
        <v>1138</v>
      </c>
      <c r="B2" s="946"/>
      <c r="C2" s="946"/>
      <c r="D2" s="946"/>
      <c r="E2" s="946"/>
      <c r="F2" s="946"/>
      <c r="G2" s="518"/>
    </row>
    <row r="3" spans="1:7" ht="2.5" customHeight="1" x14ac:dyDescent="0.3">
      <c r="A3" s="946"/>
      <c r="B3" s="946"/>
      <c r="C3" s="946"/>
      <c r="D3" s="946"/>
      <c r="E3" s="946"/>
      <c r="F3" s="946"/>
      <c r="G3" s="518"/>
    </row>
    <row r="4" spans="1:7" ht="13" customHeight="1" thickBot="1" x14ac:dyDescent="0.35">
      <c r="A4" s="519"/>
    </row>
    <row r="5" spans="1:7" ht="15" customHeight="1" x14ac:dyDescent="0.3">
      <c r="A5" s="922" t="s">
        <v>43</v>
      </c>
      <c r="B5" s="925" t="s">
        <v>44</v>
      </c>
      <c r="C5" s="925" t="s">
        <v>1139</v>
      </c>
      <c r="D5" s="928" t="s">
        <v>1097</v>
      </c>
      <c r="E5" s="931" t="s">
        <v>1098</v>
      </c>
      <c r="F5" s="934" t="s">
        <v>1099</v>
      </c>
    </row>
    <row r="6" spans="1:7" ht="14.5" customHeight="1" x14ac:dyDescent="0.3">
      <c r="A6" s="923"/>
      <c r="B6" s="926"/>
      <c r="C6" s="926"/>
      <c r="D6" s="929"/>
      <c r="E6" s="932"/>
      <c r="F6" s="935"/>
    </row>
    <row r="7" spans="1:7" ht="26.5" customHeight="1" thickBot="1" x14ac:dyDescent="0.35">
      <c r="A7" s="924"/>
      <c r="B7" s="927"/>
      <c r="C7" s="927"/>
      <c r="D7" s="930"/>
      <c r="E7" s="933"/>
      <c r="F7" s="936"/>
    </row>
    <row r="8" spans="1:7" ht="14.5" customHeight="1" x14ac:dyDescent="0.3">
      <c r="A8" s="520" t="s">
        <v>991</v>
      </c>
      <c r="B8" s="520" t="s">
        <v>1140</v>
      </c>
      <c r="C8" s="520" t="s">
        <v>1141</v>
      </c>
      <c r="D8" s="521">
        <v>4</v>
      </c>
      <c r="E8" s="522">
        <v>5</v>
      </c>
      <c r="F8" s="522">
        <v>6</v>
      </c>
    </row>
    <row r="9" spans="1:7" x14ac:dyDescent="0.3">
      <c r="A9" s="523" t="s">
        <v>1142</v>
      </c>
      <c r="B9" s="524"/>
      <c r="C9" s="525"/>
      <c r="D9" s="525"/>
      <c r="E9" s="937" t="s">
        <v>1143</v>
      </c>
      <c r="F9" s="525"/>
    </row>
    <row r="10" spans="1:7" x14ac:dyDescent="0.3">
      <c r="A10" s="526" t="s">
        <v>47</v>
      </c>
      <c r="B10" s="524" t="s">
        <v>45</v>
      </c>
      <c r="C10" s="525">
        <v>24.37</v>
      </c>
      <c r="D10" s="527">
        <f>C10*F10</f>
        <v>1.4378299999999999</v>
      </c>
      <c r="E10" s="937"/>
      <c r="F10" s="525">
        <v>5.8999999999999997E-2</v>
      </c>
    </row>
    <row r="11" spans="1:7" x14ac:dyDescent="0.3">
      <c r="A11" s="526" t="s">
        <v>48</v>
      </c>
      <c r="B11" s="524" t="s">
        <v>45</v>
      </c>
      <c r="C11" s="525">
        <v>16.309999999999999</v>
      </c>
      <c r="D11" s="527">
        <f>C11*F11</f>
        <v>0.96228999999999987</v>
      </c>
      <c r="E11" s="937"/>
      <c r="F11" s="525">
        <v>5.8999999999999997E-2</v>
      </c>
    </row>
    <row r="12" spans="1:7" x14ac:dyDescent="0.3">
      <c r="A12" s="528" t="s">
        <v>15</v>
      </c>
      <c r="B12" s="529"/>
      <c r="C12" s="530"/>
      <c r="D12" s="531">
        <f>SUM(D10:D11)</f>
        <v>2.4001199999999998</v>
      </c>
      <c r="E12" s="937"/>
      <c r="F12" s="525"/>
    </row>
    <row r="13" spans="1:7" ht="20" customHeight="1" x14ac:dyDescent="0.3">
      <c r="A13" s="938" t="s">
        <v>1144</v>
      </c>
      <c r="B13" s="939"/>
      <c r="C13" s="525">
        <v>1.26</v>
      </c>
      <c r="D13" s="532">
        <f>(D10+D11)*1.26</f>
        <v>3.0241511999999999</v>
      </c>
      <c r="E13" s="937"/>
      <c r="F13" s="525"/>
    </row>
    <row r="14" spans="1:7" x14ac:dyDescent="0.3">
      <c r="A14" s="523" t="s">
        <v>46</v>
      </c>
      <c r="B14" s="533"/>
      <c r="C14" s="525"/>
      <c r="D14" s="525"/>
      <c r="E14" s="937"/>
      <c r="F14" s="525"/>
    </row>
    <row r="15" spans="1:7" x14ac:dyDescent="0.3">
      <c r="A15" s="526" t="s">
        <v>47</v>
      </c>
      <c r="B15" s="524" t="s">
        <v>45</v>
      </c>
      <c r="C15" s="525"/>
      <c r="D15" s="525"/>
      <c r="E15" s="937"/>
      <c r="F15" s="525">
        <v>0.04</v>
      </c>
    </row>
    <row r="16" spans="1:7" x14ac:dyDescent="0.3">
      <c r="A16" s="526" t="s">
        <v>48</v>
      </c>
      <c r="B16" s="524" t="s">
        <v>45</v>
      </c>
      <c r="C16" s="525">
        <v>1.05</v>
      </c>
      <c r="D16" s="525">
        <f>C16*F16</f>
        <v>5.2500000000000005E-2</v>
      </c>
      <c r="E16" s="937"/>
      <c r="F16" s="525">
        <v>0.05</v>
      </c>
    </row>
    <row r="17" spans="1:6" x14ac:dyDescent="0.3">
      <c r="A17" s="526" t="s">
        <v>49</v>
      </c>
      <c r="B17" s="524" t="s">
        <v>45</v>
      </c>
      <c r="C17" s="525">
        <v>41.6</v>
      </c>
      <c r="D17" s="525">
        <f t="shared" ref="D17:D18" si="0">C17*F17</f>
        <v>1.8719999999999999</v>
      </c>
      <c r="E17" s="937"/>
      <c r="F17" s="525">
        <v>4.4999999999999998E-2</v>
      </c>
    </row>
    <row r="18" spans="1:6" x14ac:dyDescent="0.3">
      <c r="A18" s="526" t="s">
        <v>50</v>
      </c>
      <c r="B18" s="524" t="s">
        <v>45</v>
      </c>
      <c r="C18" s="525">
        <v>2.1800000000000002</v>
      </c>
      <c r="D18" s="525">
        <f t="shared" si="0"/>
        <v>9.8100000000000007E-2</v>
      </c>
      <c r="E18" s="937"/>
      <c r="F18" s="525">
        <v>4.4999999999999998E-2</v>
      </c>
    </row>
    <row r="19" spans="1:6" x14ac:dyDescent="0.3">
      <c r="A19" s="523" t="s">
        <v>51</v>
      </c>
      <c r="B19" s="524"/>
      <c r="C19" s="525"/>
      <c r="D19" s="525"/>
      <c r="E19" s="937"/>
      <c r="F19" s="525"/>
    </row>
    <row r="20" spans="1:6" x14ac:dyDescent="0.3">
      <c r="A20" s="526" t="s">
        <v>47</v>
      </c>
      <c r="B20" s="524" t="s">
        <v>45</v>
      </c>
      <c r="C20" s="525"/>
      <c r="D20" s="525"/>
      <c r="E20" s="937"/>
      <c r="F20" s="525">
        <v>3.5000000000000003E-2</v>
      </c>
    </row>
    <row r="21" spans="1:6" x14ac:dyDescent="0.3">
      <c r="A21" s="526" t="s">
        <v>48</v>
      </c>
      <c r="B21" s="524" t="s">
        <v>45</v>
      </c>
      <c r="C21" s="525">
        <v>3.91</v>
      </c>
      <c r="D21" s="525">
        <f t="shared" ref="D21:D48" si="1">C21*F21</f>
        <v>0.13685000000000003</v>
      </c>
      <c r="E21" s="937"/>
      <c r="F21" s="525">
        <v>3.5000000000000003E-2</v>
      </c>
    </row>
    <row r="22" spans="1:6" x14ac:dyDescent="0.3">
      <c r="A22" s="526" t="s">
        <v>49</v>
      </c>
      <c r="B22" s="524" t="s">
        <v>45</v>
      </c>
      <c r="C22" s="525">
        <v>87.65</v>
      </c>
      <c r="D22" s="525">
        <f t="shared" si="1"/>
        <v>3.5060000000000002</v>
      </c>
      <c r="E22" s="937"/>
      <c r="F22" s="525">
        <v>0.04</v>
      </c>
    </row>
    <row r="23" spans="1:6" x14ac:dyDescent="0.3">
      <c r="A23" s="526" t="s">
        <v>50</v>
      </c>
      <c r="B23" s="524" t="s">
        <v>45</v>
      </c>
      <c r="C23" s="525">
        <v>6.18</v>
      </c>
      <c r="D23" s="525">
        <f t="shared" si="1"/>
        <v>0.27809999999999996</v>
      </c>
      <c r="E23" s="937"/>
      <c r="F23" s="525">
        <v>4.4999999999999998E-2</v>
      </c>
    </row>
    <row r="24" spans="1:6" x14ac:dyDescent="0.3">
      <c r="A24" s="523" t="s">
        <v>52</v>
      </c>
      <c r="B24" s="524" t="s">
        <v>45</v>
      </c>
      <c r="C24" s="525">
        <v>16.87</v>
      </c>
      <c r="D24" s="525">
        <f t="shared" si="1"/>
        <v>0.50609999999999999</v>
      </c>
      <c r="E24" s="940" t="s">
        <v>1145</v>
      </c>
      <c r="F24" s="525">
        <v>0.03</v>
      </c>
    </row>
    <row r="25" spans="1:6" x14ac:dyDescent="0.3">
      <c r="A25" s="523" t="s">
        <v>53</v>
      </c>
      <c r="B25" s="524" t="s">
        <v>45</v>
      </c>
      <c r="C25" s="525">
        <v>17.91</v>
      </c>
      <c r="D25" s="525">
        <f t="shared" si="1"/>
        <v>0.62685000000000002</v>
      </c>
      <c r="E25" s="940"/>
      <c r="F25" s="525">
        <v>3.5000000000000003E-2</v>
      </c>
    </row>
    <row r="26" spans="1:6" x14ac:dyDescent="0.3">
      <c r="A26" s="523" t="s">
        <v>1146</v>
      </c>
      <c r="B26" s="524" t="s">
        <v>55</v>
      </c>
      <c r="C26" s="525">
        <v>878</v>
      </c>
      <c r="D26" s="525">
        <f t="shared" si="1"/>
        <v>0.17560000000000001</v>
      </c>
      <c r="E26" s="534" t="s">
        <v>1147</v>
      </c>
      <c r="F26" s="525">
        <v>2.0000000000000001E-4</v>
      </c>
    </row>
    <row r="27" spans="1:6" x14ac:dyDescent="0.3">
      <c r="A27" s="523" t="s">
        <v>54</v>
      </c>
      <c r="B27" s="524" t="s">
        <v>55</v>
      </c>
      <c r="C27" s="525">
        <v>8</v>
      </c>
      <c r="D27" s="525">
        <f t="shared" si="1"/>
        <v>0.216</v>
      </c>
      <c r="E27" s="941" t="s">
        <v>1148</v>
      </c>
      <c r="F27" s="525">
        <v>2.7E-2</v>
      </c>
    </row>
    <row r="28" spans="1:6" ht="22" x14ac:dyDescent="0.3">
      <c r="A28" s="523" t="s">
        <v>56</v>
      </c>
      <c r="B28" s="524" t="s">
        <v>55</v>
      </c>
      <c r="C28" s="525">
        <v>49</v>
      </c>
      <c r="D28" s="525">
        <f t="shared" si="1"/>
        <v>1.2250000000000001</v>
      </c>
      <c r="E28" s="937"/>
      <c r="F28" s="525">
        <v>2.5000000000000001E-2</v>
      </c>
    </row>
    <row r="29" spans="1:6" ht="22" x14ac:dyDescent="0.3">
      <c r="A29" s="523" t="s">
        <v>57</v>
      </c>
      <c r="B29" s="524" t="s">
        <v>55</v>
      </c>
      <c r="C29" s="525">
        <v>28</v>
      </c>
      <c r="D29" s="525">
        <f t="shared" si="1"/>
        <v>0.84</v>
      </c>
      <c r="E29" s="937"/>
      <c r="F29" s="525">
        <v>0.03</v>
      </c>
    </row>
    <row r="30" spans="1:6" x14ac:dyDescent="0.3">
      <c r="A30" s="523" t="s">
        <v>1149</v>
      </c>
      <c r="B30" s="524" t="s">
        <v>55</v>
      </c>
      <c r="C30" s="525"/>
      <c r="D30" s="525">
        <f t="shared" si="1"/>
        <v>0</v>
      </c>
      <c r="E30" s="937"/>
      <c r="F30" s="525"/>
    </row>
    <row r="31" spans="1:6" ht="22" x14ac:dyDescent="0.3">
      <c r="A31" s="523" t="s">
        <v>58</v>
      </c>
      <c r="B31" s="524" t="s">
        <v>55</v>
      </c>
      <c r="C31" s="525">
        <v>1</v>
      </c>
      <c r="D31" s="525">
        <f t="shared" si="1"/>
        <v>4</v>
      </c>
      <c r="E31" s="937"/>
      <c r="F31" s="525">
        <v>4</v>
      </c>
    </row>
    <row r="32" spans="1:6" x14ac:dyDescent="0.3">
      <c r="A32" s="942" t="s">
        <v>1150</v>
      </c>
      <c r="B32" s="942"/>
      <c r="C32" s="942"/>
      <c r="D32" s="942"/>
      <c r="E32" s="942"/>
      <c r="F32" s="525"/>
    </row>
    <row r="33" spans="1:6" x14ac:dyDescent="0.3">
      <c r="A33" s="943"/>
      <c r="B33" s="943"/>
      <c r="C33" s="943"/>
      <c r="D33" s="943"/>
      <c r="E33" s="943"/>
      <c r="F33" s="525"/>
    </row>
    <row r="34" spans="1:6" x14ac:dyDescent="0.3">
      <c r="A34" s="944"/>
      <c r="B34" s="944"/>
      <c r="C34" s="944"/>
      <c r="D34" s="944"/>
      <c r="E34" s="944"/>
      <c r="F34" s="525"/>
    </row>
    <row r="35" spans="1:6" x14ac:dyDescent="0.3">
      <c r="A35" s="523" t="s">
        <v>59</v>
      </c>
      <c r="B35" s="524" t="s">
        <v>55</v>
      </c>
      <c r="C35" s="525"/>
      <c r="D35" s="525">
        <f t="shared" si="1"/>
        <v>0</v>
      </c>
      <c r="E35" s="534" t="s">
        <v>1151</v>
      </c>
      <c r="F35" s="525"/>
    </row>
    <row r="36" spans="1:6" ht="22" x14ac:dyDescent="0.3">
      <c r="A36" s="523" t="s">
        <v>60</v>
      </c>
      <c r="B36" s="524"/>
      <c r="C36" s="525"/>
      <c r="D36" s="525"/>
      <c r="E36" s="940" t="s">
        <v>1152</v>
      </c>
      <c r="F36" s="525"/>
    </row>
    <row r="37" spans="1:6" x14ac:dyDescent="0.3">
      <c r="A37" s="526" t="s">
        <v>61</v>
      </c>
      <c r="B37" s="524" t="s">
        <v>55</v>
      </c>
      <c r="C37" s="525">
        <v>33</v>
      </c>
      <c r="D37" s="525">
        <f t="shared" si="1"/>
        <v>8.2500000000000004E-2</v>
      </c>
      <c r="E37" s="940"/>
      <c r="F37" s="525">
        <v>2.5000000000000001E-3</v>
      </c>
    </row>
    <row r="38" spans="1:6" x14ac:dyDescent="0.3">
      <c r="A38" s="526" t="s">
        <v>62</v>
      </c>
      <c r="B38" s="524" t="s">
        <v>55</v>
      </c>
      <c r="C38" s="525">
        <v>347</v>
      </c>
      <c r="D38" s="525">
        <f t="shared" si="1"/>
        <v>0.69400000000000006</v>
      </c>
      <c r="E38" s="940"/>
      <c r="F38" s="525">
        <v>2E-3</v>
      </c>
    </row>
    <row r="39" spans="1:6" ht="22" x14ac:dyDescent="0.3">
      <c r="A39" s="523" t="s">
        <v>1153</v>
      </c>
      <c r="B39" s="524"/>
      <c r="C39" s="525"/>
      <c r="D39" s="525"/>
      <c r="E39" s="940" t="s">
        <v>1154</v>
      </c>
      <c r="F39" s="525"/>
    </row>
    <row r="40" spans="1:6" x14ac:dyDescent="0.3">
      <c r="A40" s="526" t="s">
        <v>1155</v>
      </c>
      <c r="B40" s="524" t="s">
        <v>55</v>
      </c>
      <c r="C40" s="525">
        <v>1904</v>
      </c>
      <c r="D40" s="525">
        <f t="shared" si="1"/>
        <v>0.66639999999999999</v>
      </c>
      <c r="E40" s="940"/>
      <c r="F40" s="525">
        <v>3.5E-4</v>
      </c>
    </row>
    <row r="41" spans="1:6" x14ac:dyDescent="0.3">
      <c r="A41" s="526" t="s">
        <v>1156</v>
      </c>
      <c r="B41" s="524" t="s">
        <v>55</v>
      </c>
      <c r="C41" s="525">
        <v>952</v>
      </c>
      <c r="D41" s="525">
        <f t="shared" si="1"/>
        <v>0.30464000000000002</v>
      </c>
      <c r="E41" s="940"/>
      <c r="F41" s="525">
        <v>3.2000000000000003E-4</v>
      </c>
    </row>
    <row r="42" spans="1:6" ht="22" x14ac:dyDescent="0.3">
      <c r="A42" s="523" t="s">
        <v>1157</v>
      </c>
      <c r="B42" s="524" t="s">
        <v>55</v>
      </c>
      <c r="C42" s="525">
        <v>821</v>
      </c>
      <c r="D42" s="525">
        <f t="shared" si="1"/>
        <v>2.1345999999999998</v>
      </c>
      <c r="E42" s="535" t="s">
        <v>1158</v>
      </c>
      <c r="F42" s="525">
        <v>2.5999999999999999E-3</v>
      </c>
    </row>
    <row r="43" spans="1:6" ht="22" x14ac:dyDescent="0.3">
      <c r="A43" s="523" t="s">
        <v>1159</v>
      </c>
      <c r="B43" s="524"/>
      <c r="C43" s="525"/>
      <c r="D43" s="525">
        <f t="shared" si="1"/>
        <v>0</v>
      </c>
      <c r="E43" s="940" t="s">
        <v>1160</v>
      </c>
      <c r="F43" s="525"/>
    </row>
    <row r="44" spans="1:6" x14ac:dyDescent="0.3">
      <c r="A44" s="526" t="s">
        <v>63</v>
      </c>
      <c r="B44" s="524" t="s">
        <v>55</v>
      </c>
      <c r="C44" s="525">
        <v>2706</v>
      </c>
      <c r="D44" s="525">
        <f t="shared" si="1"/>
        <v>0.62238000000000004</v>
      </c>
      <c r="E44" s="940"/>
      <c r="F44" s="525">
        <v>2.3000000000000001E-4</v>
      </c>
    </row>
    <row r="45" spans="1:6" x14ac:dyDescent="0.3">
      <c r="A45" s="526" t="s">
        <v>64</v>
      </c>
      <c r="B45" s="524" t="s">
        <v>55</v>
      </c>
      <c r="C45" s="525">
        <v>971</v>
      </c>
      <c r="D45" s="525">
        <f t="shared" si="1"/>
        <v>0.5825999999999999</v>
      </c>
      <c r="E45" s="940"/>
      <c r="F45" s="525">
        <v>5.9999999999999995E-4</v>
      </c>
    </row>
    <row r="46" spans="1:6" x14ac:dyDescent="0.3">
      <c r="A46" s="523" t="s">
        <v>65</v>
      </c>
      <c r="B46" s="524" t="s">
        <v>151</v>
      </c>
      <c r="C46" s="525">
        <v>33</v>
      </c>
      <c r="D46" s="525">
        <f t="shared" si="1"/>
        <v>0.3135</v>
      </c>
      <c r="E46" s="940" t="s">
        <v>1161</v>
      </c>
      <c r="F46" s="525">
        <v>9.4999999999999998E-3</v>
      </c>
    </row>
    <row r="47" spans="1:6" ht="22" x14ac:dyDescent="0.3">
      <c r="A47" s="523" t="s">
        <v>66</v>
      </c>
      <c r="B47" s="524" t="s">
        <v>55</v>
      </c>
      <c r="C47" s="525">
        <v>347</v>
      </c>
      <c r="D47" s="525">
        <f t="shared" si="1"/>
        <v>1.3880000000000001</v>
      </c>
      <c r="E47" s="940"/>
      <c r="F47" s="525">
        <v>4.0000000000000001E-3</v>
      </c>
    </row>
    <row r="48" spans="1:6" x14ac:dyDescent="0.3">
      <c r="A48" s="523" t="s">
        <v>67</v>
      </c>
      <c r="B48" s="524" t="s">
        <v>1162</v>
      </c>
      <c r="C48" s="525">
        <v>1661.2</v>
      </c>
      <c r="D48" s="525">
        <f t="shared" si="1"/>
        <v>1.6612</v>
      </c>
      <c r="E48" s="534" t="s">
        <v>1163</v>
      </c>
      <c r="F48" s="525">
        <v>1E-3</v>
      </c>
    </row>
    <row r="49" spans="1:6" x14ac:dyDescent="0.3">
      <c r="A49" s="911" t="s">
        <v>1045</v>
      </c>
      <c r="B49" s="911"/>
      <c r="C49" s="911"/>
      <c r="D49" s="536">
        <f>SUM(D13:D48)</f>
        <v>25.007071199999995</v>
      </c>
      <c r="E49" s="530"/>
      <c r="F49" s="530"/>
    </row>
    <row r="50" spans="1:6" x14ac:dyDescent="0.3">
      <c r="A50" s="911" t="s">
        <v>68</v>
      </c>
      <c r="B50" s="911"/>
      <c r="C50" s="750">
        <v>1.18</v>
      </c>
      <c r="D50" s="751">
        <f>D49*C50</f>
        <v>29.508344015999992</v>
      </c>
      <c r="E50" s="525"/>
      <c r="F50" s="525"/>
    </row>
    <row r="51" spans="1:6" x14ac:dyDescent="0.3">
      <c r="A51" s="911" t="s">
        <v>69</v>
      </c>
      <c r="B51" s="911"/>
      <c r="C51" s="537">
        <v>1.18</v>
      </c>
      <c r="D51" s="538">
        <f>D50*C51</f>
        <v>34.819845938879986</v>
      </c>
      <c r="E51" s="525"/>
      <c r="F51" s="525"/>
    </row>
    <row r="54" spans="1:6" x14ac:dyDescent="0.3">
      <c r="A54" s="920" t="s">
        <v>1164</v>
      </c>
      <c r="B54" s="920"/>
      <c r="C54" s="920"/>
      <c r="D54" s="920"/>
      <c r="E54" s="920"/>
      <c r="F54" s="920"/>
    </row>
    <row r="55" spans="1:6" x14ac:dyDescent="0.3">
      <c r="A55" s="921" t="s">
        <v>1138</v>
      </c>
      <c r="B55" s="921"/>
      <c r="C55" s="921"/>
      <c r="D55" s="921"/>
      <c r="E55" s="921"/>
      <c r="F55" s="921"/>
    </row>
    <row r="56" spans="1:6" ht="5" customHeight="1" x14ac:dyDescent="0.3">
      <c r="A56" s="921"/>
      <c r="B56" s="921"/>
      <c r="C56" s="921"/>
      <c r="D56" s="921"/>
      <c r="E56" s="921"/>
      <c r="F56" s="921"/>
    </row>
    <row r="57" spans="1:6" ht="12" thickBot="1" x14ac:dyDescent="0.35"/>
    <row r="58" spans="1:6" x14ac:dyDescent="0.3">
      <c r="A58" s="922" t="s">
        <v>43</v>
      </c>
      <c r="B58" s="925" t="s">
        <v>44</v>
      </c>
      <c r="C58" s="925" t="s">
        <v>1139</v>
      </c>
      <c r="D58" s="928" t="s">
        <v>1097</v>
      </c>
      <c r="E58" s="931" t="s">
        <v>1098</v>
      </c>
      <c r="F58" s="934" t="s">
        <v>1099</v>
      </c>
    </row>
    <row r="59" spans="1:6" x14ac:dyDescent="0.3">
      <c r="A59" s="923"/>
      <c r="B59" s="926"/>
      <c r="C59" s="926"/>
      <c r="D59" s="929"/>
      <c r="E59" s="932"/>
      <c r="F59" s="935"/>
    </row>
    <row r="60" spans="1:6" ht="12" thickBot="1" x14ac:dyDescent="0.35">
      <c r="A60" s="924"/>
      <c r="B60" s="927"/>
      <c r="C60" s="927"/>
      <c r="D60" s="930"/>
      <c r="E60" s="933"/>
      <c r="F60" s="936"/>
    </row>
    <row r="61" spans="1:6" ht="12" thickBot="1" x14ac:dyDescent="0.35">
      <c r="A61" s="539">
        <v>1</v>
      </c>
      <c r="B61" s="540">
        <v>2</v>
      </c>
      <c r="C61" s="540">
        <v>3</v>
      </c>
      <c r="D61" s="540">
        <v>4</v>
      </c>
      <c r="E61" s="540">
        <v>5</v>
      </c>
      <c r="F61" s="541">
        <v>6</v>
      </c>
    </row>
    <row r="62" spans="1:6" x14ac:dyDescent="0.3">
      <c r="A62" s="542" t="s">
        <v>70</v>
      </c>
      <c r="B62" s="543" t="s">
        <v>55</v>
      </c>
      <c r="C62" s="544">
        <v>2</v>
      </c>
      <c r="D62" s="544">
        <v>2</v>
      </c>
      <c r="E62" s="544"/>
      <c r="F62" s="544"/>
    </row>
    <row r="63" spans="1:6" x14ac:dyDescent="0.3">
      <c r="A63" s="545" t="s">
        <v>71</v>
      </c>
      <c r="B63" s="546" t="s">
        <v>55</v>
      </c>
      <c r="C63" s="525">
        <v>4</v>
      </c>
      <c r="D63" s="525">
        <v>4</v>
      </c>
      <c r="E63" s="525"/>
      <c r="F63" s="525"/>
    </row>
    <row r="64" spans="1:6" x14ac:dyDescent="0.3">
      <c r="A64" s="545" t="s">
        <v>72</v>
      </c>
      <c r="B64" s="546" t="s">
        <v>55</v>
      </c>
      <c r="C64" s="525">
        <v>1</v>
      </c>
      <c r="D64" s="525">
        <v>1</v>
      </c>
      <c r="E64" s="525"/>
      <c r="F64" s="525"/>
    </row>
    <row r="65" spans="1:6" x14ac:dyDescent="0.3">
      <c r="A65" s="545" t="s">
        <v>123</v>
      </c>
      <c r="B65" s="546" t="s">
        <v>55</v>
      </c>
      <c r="C65" s="525">
        <v>1</v>
      </c>
      <c r="D65" s="525">
        <v>1</v>
      </c>
      <c r="E65" s="525"/>
      <c r="F65" s="525"/>
    </row>
    <row r="66" spans="1:6" ht="22" x14ac:dyDescent="0.3">
      <c r="A66" s="545" t="s">
        <v>73</v>
      </c>
      <c r="B66" s="546" t="s">
        <v>55</v>
      </c>
      <c r="C66" s="525">
        <v>2</v>
      </c>
      <c r="D66" s="525">
        <v>4</v>
      </c>
      <c r="E66" s="525"/>
      <c r="F66" s="525"/>
    </row>
    <row r="67" spans="1:6" ht="22" x14ac:dyDescent="0.3">
      <c r="A67" s="545" t="s">
        <v>74</v>
      </c>
      <c r="B67" s="546" t="s">
        <v>55</v>
      </c>
      <c r="C67" s="525"/>
      <c r="D67" s="525">
        <v>1</v>
      </c>
      <c r="E67" s="525"/>
      <c r="F67" s="525"/>
    </row>
    <row r="68" spans="1:6" x14ac:dyDescent="0.3">
      <c r="A68" s="545" t="s">
        <v>17</v>
      </c>
      <c r="B68" s="546" t="s">
        <v>55</v>
      </c>
      <c r="C68" s="525"/>
      <c r="D68" s="525">
        <v>1</v>
      </c>
      <c r="E68" s="525"/>
      <c r="F68" s="525"/>
    </row>
    <row r="69" spans="1:6" x14ac:dyDescent="0.3">
      <c r="A69" s="911" t="s">
        <v>1045</v>
      </c>
      <c r="B69" s="911"/>
      <c r="C69" s="911"/>
      <c r="D69" s="525">
        <f>SUM(D62:D68)</f>
        <v>14</v>
      </c>
      <c r="E69" s="525"/>
      <c r="F69" s="525"/>
    </row>
    <row r="70" spans="1:6" x14ac:dyDescent="0.3">
      <c r="A70" s="911" t="s">
        <v>69</v>
      </c>
      <c r="B70" s="911"/>
      <c r="C70" s="537">
        <v>1.18</v>
      </c>
      <c r="D70" s="749">
        <f>D69*C70</f>
        <v>16.52</v>
      </c>
      <c r="E70" s="525"/>
      <c r="F70" s="525"/>
    </row>
    <row r="72" spans="1:6" x14ac:dyDescent="0.3">
      <c r="A72" s="920" t="s">
        <v>1165</v>
      </c>
      <c r="B72" s="920"/>
      <c r="C72" s="920"/>
      <c r="D72" s="920"/>
      <c r="E72" s="920"/>
      <c r="F72" s="920"/>
    </row>
    <row r="73" spans="1:6" x14ac:dyDescent="0.3">
      <c r="A73" s="921" t="s">
        <v>1138</v>
      </c>
      <c r="B73" s="921"/>
      <c r="C73" s="921"/>
      <c r="D73" s="921"/>
      <c r="E73" s="921"/>
      <c r="F73" s="921"/>
    </row>
    <row r="74" spans="1:6" ht="12" thickBot="1" x14ac:dyDescent="0.35"/>
    <row r="75" spans="1:6" x14ac:dyDescent="0.3">
      <c r="A75" s="922" t="s">
        <v>43</v>
      </c>
      <c r="B75" s="925" t="s">
        <v>44</v>
      </c>
      <c r="C75" s="925" t="s">
        <v>1139</v>
      </c>
      <c r="D75" s="928" t="s">
        <v>1097</v>
      </c>
      <c r="E75" s="931" t="s">
        <v>1098</v>
      </c>
      <c r="F75" s="934" t="s">
        <v>1099</v>
      </c>
    </row>
    <row r="76" spans="1:6" x14ac:dyDescent="0.3">
      <c r="A76" s="923"/>
      <c r="B76" s="926"/>
      <c r="C76" s="926"/>
      <c r="D76" s="929"/>
      <c r="E76" s="932"/>
      <c r="F76" s="935"/>
    </row>
    <row r="77" spans="1:6" ht="12" thickBot="1" x14ac:dyDescent="0.35">
      <c r="A77" s="924"/>
      <c r="B77" s="927"/>
      <c r="C77" s="927"/>
      <c r="D77" s="930"/>
      <c r="E77" s="933"/>
      <c r="F77" s="936"/>
    </row>
    <row r="78" spans="1:6" ht="12" thickBot="1" x14ac:dyDescent="0.35">
      <c r="A78" s="539">
        <v>1</v>
      </c>
      <c r="B78" s="540">
        <v>2</v>
      </c>
      <c r="C78" s="547">
        <v>3</v>
      </c>
      <c r="D78" s="547">
        <v>4</v>
      </c>
      <c r="E78" s="547">
        <v>5</v>
      </c>
      <c r="F78" s="548">
        <v>6</v>
      </c>
    </row>
    <row r="79" spans="1:6" x14ac:dyDescent="0.3">
      <c r="A79" s="545" t="s">
        <v>75</v>
      </c>
      <c r="B79" s="549"/>
      <c r="C79" s="525"/>
      <c r="D79" s="525">
        <v>2</v>
      </c>
      <c r="E79" s="525"/>
      <c r="F79" s="525"/>
    </row>
    <row r="80" spans="1:6" x14ac:dyDescent="0.3">
      <c r="A80" s="545" t="s">
        <v>76</v>
      </c>
      <c r="B80" s="546"/>
      <c r="C80" s="525"/>
      <c r="D80" s="525">
        <v>4</v>
      </c>
      <c r="E80" s="525"/>
      <c r="F80" s="525"/>
    </row>
    <row r="81" spans="1:6" x14ac:dyDescent="0.3">
      <c r="A81" s="545" t="s">
        <v>37</v>
      </c>
      <c r="B81" s="546" t="s">
        <v>55</v>
      </c>
      <c r="C81" s="525"/>
      <c r="D81" s="525">
        <v>1</v>
      </c>
      <c r="E81" s="525"/>
      <c r="F81" s="525"/>
    </row>
    <row r="82" spans="1:6" x14ac:dyDescent="0.3">
      <c r="A82" s="545" t="s">
        <v>33</v>
      </c>
      <c r="B82" s="546" t="s">
        <v>55</v>
      </c>
      <c r="C82" s="525"/>
      <c r="D82" s="525">
        <v>1</v>
      </c>
      <c r="E82" s="525"/>
      <c r="F82" s="525"/>
    </row>
    <row r="83" spans="1:6" x14ac:dyDescent="0.3">
      <c r="A83" s="911" t="s">
        <v>1045</v>
      </c>
      <c r="B83" s="911"/>
      <c r="C83" s="911"/>
      <c r="D83" s="525">
        <f>SUM(D79:D82)</f>
        <v>8</v>
      </c>
      <c r="E83" s="525"/>
      <c r="F83" s="525"/>
    </row>
    <row r="84" spans="1:6" x14ac:dyDescent="0.3">
      <c r="A84" s="911" t="s">
        <v>69</v>
      </c>
      <c r="B84" s="911"/>
      <c r="C84" s="537">
        <v>1.18</v>
      </c>
      <c r="D84" s="749">
        <f>D83*1.18</f>
        <v>9.44</v>
      </c>
      <c r="E84" s="525"/>
      <c r="F84" s="525"/>
    </row>
    <row r="86" spans="1:6" ht="28.5" customHeight="1" x14ac:dyDescent="0.35">
      <c r="A86" s="912" t="s">
        <v>1166</v>
      </c>
      <c r="B86" s="912"/>
      <c r="C86" s="912"/>
      <c r="D86" s="754">
        <f>D51+D70+D84</f>
        <v>60.779845938879987</v>
      </c>
      <c r="E86" s="755"/>
      <c r="F86" s="754"/>
    </row>
    <row r="87" spans="1:6" x14ac:dyDescent="0.3">
      <c r="A87" s="753"/>
      <c r="B87" s="753"/>
      <c r="C87" s="753"/>
      <c r="D87" s="752"/>
    </row>
    <row r="88" spans="1:6" ht="34.5" customHeight="1" x14ac:dyDescent="0.45">
      <c r="A88" s="919" t="s">
        <v>1374</v>
      </c>
      <c r="B88" s="919"/>
      <c r="C88" s="919"/>
      <c r="D88" s="919"/>
      <c r="E88" s="919"/>
      <c r="F88" s="919"/>
    </row>
    <row r="90" spans="1:6" ht="26" customHeight="1" x14ac:dyDescent="0.3">
      <c r="A90" s="913" t="s">
        <v>1167</v>
      </c>
      <c r="B90" s="914"/>
      <c r="C90" s="914"/>
      <c r="D90" s="914"/>
      <c r="E90" s="915"/>
    </row>
    <row r="91" spans="1:6" ht="10.5" customHeight="1" x14ac:dyDescent="0.3">
      <c r="A91" s="916" t="s">
        <v>78</v>
      </c>
      <c r="B91" s="917"/>
      <c r="C91" s="917"/>
      <c r="D91" s="917"/>
      <c r="E91" s="918"/>
    </row>
    <row r="92" spans="1:6" x14ac:dyDescent="0.3">
      <c r="A92" s="910" t="s">
        <v>1373</v>
      </c>
      <c r="B92" s="910"/>
      <c r="C92" s="910"/>
      <c r="D92" s="910"/>
      <c r="E92" s="910"/>
    </row>
    <row r="93" spans="1:6" x14ac:dyDescent="0.3">
      <c r="A93" s="910"/>
      <c r="B93" s="910"/>
      <c r="C93" s="910"/>
      <c r="D93" s="910"/>
      <c r="E93" s="910"/>
    </row>
    <row r="94" spans="1:6" x14ac:dyDescent="0.3">
      <c r="A94" s="910"/>
      <c r="B94" s="910"/>
      <c r="C94" s="910"/>
      <c r="D94" s="910"/>
      <c r="E94" s="910"/>
    </row>
    <row r="95" spans="1:6" ht="158" customHeight="1" x14ac:dyDescent="0.3">
      <c r="A95" s="910"/>
      <c r="B95" s="910"/>
      <c r="C95" s="910"/>
      <c r="D95" s="910"/>
      <c r="E95" s="910"/>
    </row>
    <row r="97" spans="1:3" ht="15.5" x14ac:dyDescent="0.35">
      <c r="A97" s="755" t="s">
        <v>1259</v>
      </c>
      <c r="C97" s="755" t="s">
        <v>1169</v>
      </c>
    </row>
  </sheetData>
  <mergeCells count="45">
    <mergeCell ref="A1:F1"/>
    <mergeCell ref="A2:F3"/>
    <mergeCell ref="A5:A7"/>
    <mergeCell ref="B5:B7"/>
    <mergeCell ref="C5:C7"/>
    <mergeCell ref="D5:D7"/>
    <mergeCell ref="E5:E7"/>
    <mergeCell ref="F5:F7"/>
    <mergeCell ref="A51:B51"/>
    <mergeCell ref="E9:E23"/>
    <mergeCell ref="A13:B13"/>
    <mergeCell ref="E24:E25"/>
    <mergeCell ref="E27:E31"/>
    <mergeCell ref="A32:E34"/>
    <mergeCell ref="E36:E38"/>
    <mergeCell ref="E39:E41"/>
    <mergeCell ref="E43:E45"/>
    <mergeCell ref="E46:E47"/>
    <mergeCell ref="A49:C49"/>
    <mergeCell ref="A50:B50"/>
    <mergeCell ref="A54:F54"/>
    <mergeCell ref="A55:F56"/>
    <mergeCell ref="A58:A60"/>
    <mergeCell ref="B58:B60"/>
    <mergeCell ref="C58:C60"/>
    <mergeCell ref="D58:D60"/>
    <mergeCell ref="E58:E60"/>
    <mergeCell ref="F58:F60"/>
    <mergeCell ref="A69:C69"/>
    <mergeCell ref="A70:B70"/>
    <mergeCell ref="A72:F72"/>
    <mergeCell ref="A73:F73"/>
    <mergeCell ref="A75:A77"/>
    <mergeCell ref="B75:B77"/>
    <mergeCell ref="C75:C77"/>
    <mergeCell ref="D75:D77"/>
    <mergeCell ref="E75:E77"/>
    <mergeCell ref="F75:F77"/>
    <mergeCell ref="A92:E95"/>
    <mergeCell ref="A83:C83"/>
    <mergeCell ref="A84:B84"/>
    <mergeCell ref="A86:C86"/>
    <mergeCell ref="A90:E90"/>
    <mergeCell ref="A91:E91"/>
    <mergeCell ref="A88:F88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32" sqref="A1:I32"/>
    </sheetView>
  </sheetViews>
  <sheetFormatPr defaultRowHeight="14.5" x14ac:dyDescent="0.35"/>
  <cols>
    <col min="1" max="1" width="27.81640625" customWidth="1"/>
    <col min="2" max="2" width="17.81640625" customWidth="1"/>
    <col min="3" max="3" width="14.7265625" customWidth="1"/>
    <col min="4" max="4" width="12.7265625" customWidth="1"/>
    <col min="5" max="5" width="12.81640625" customWidth="1"/>
    <col min="6" max="6" width="14.08984375" customWidth="1"/>
    <col min="7" max="7" width="12.7265625" customWidth="1"/>
  </cols>
  <sheetData>
    <row r="1" spans="1:11" x14ac:dyDescent="0.35">
      <c r="A1" s="1264" t="s">
        <v>1335</v>
      </c>
      <c r="B1" s="1264"/>
      <c r="C1" s="1264"/>
      <c r="D1" s="1264"/>
      <c r="E1" s="1264"/>
      <c r="F1" s="1264"/>
      <c r="G1" s="1264"/>
      <c r="I1" s="86"/>
      <c r="J1" s="86"/>
      <c r="K1" s="86"/>
    </row>
    <row r="2" spans="1:11" ht="15" thickBot="1" x14ac:dyDescent="0.4">
      <c r="A2" s="1164" t="s">
        <v>1336</v>
      </c>
      <c r="B2" s="1164"/>
      <c r="C2" s="1164"/>
      <c r="D2" s="1164"/>
      <c r="E2" s="1164"/>
      <c r="F2" s="730" t="s">
        <v>320</v>
      </c>
      <c r="G2" s="267" t="s">
        <v>931</v>
      </c>
      <c r="I2" s="86"/>
      <c r="J2" s="86"/>
      <c r="K2" s="256"/>
    </row>
    <row r="3" spans="1:11" x14ac:dyDescent="0.35">
      <c r="A3" s="1261"/>
      <c r="B3" s="257" t="s">
        <v>886</v>
      </c>
      <c r="C3" s="257" t="s">
        <v>887</v>
      </c>
      <c r="D3" s="257" t="s">
        <v>888</v>
      </c>
      <c r="E3" s="257" t="s">
        <v>889</v>
      </c>
      <c r="F3" s="257" t="s">
        <v>890</v>
      </c>
      <c r="G3" s="257" t="s">
        <v>891</v>
      </c>
    </row>
    <row r="4" spans="1:11" x14ac:dyDescent="0.35">
      <c r="A4" s="1262"/>
      <c r="B4" s="258" t="s">
        <v>892</v>
      </c>
      <c r="C4" s="258" t="s">
        <v>893</v>
      </c>
      <c r="D4" s="258" t="s">
        <v>894</v>
      </c>
      <c r="E4" s="258" t="s">
        <v>895</v>
      </c>
      <c r="F4" s="258" t="s">
        <v>896</v>
      </c>
      <c r="G4" s="258" t="s">
        <v>897</v>
      </c>
    </row>
    <row r="5" spans="1:11" x14ac:dyDescent="0.35">
      <c r="A5" s="1262"/>
      <c r="B5" s="258" t="s">
        <v>898</v>
      </c>
      <c r="C5" s="258" t="s">
        <v>899</v>
      </c>
      <c r="D5" s="258" t="s">
        <v>900</v>
      </c>
      <c r="E5" s="258" t="s">
        <v>901</v>
      </c>
      <c r="F5" s="258" t="s">
        <v>745</v>
      </c>
      <c r="G5" s="259"/>
    </row>
    <row r="6" spans="1:11" x14ac:dyDescent="0.35">
      <c r="A6" s="1262"/>
      <c r="B6" s="258" t="s">
        <v>902</v>
      </c>
      <c r="C6" s="258" t="s">
        <v>903</v>
      </c>
      <c r="D6" s="258" t="s">
        <v>904</v>
      </c>
      <c r="E6" s="258" t="s">
        <v>905</v>
      </c>
      <c r="F6" s="259"/>
      <c r="G6" s="259"/>
    </row>
    <row r="7" spans="1:11" ht="15" thickBot="1" x14ac:dyDescent="0.4">
      <c r="A7" s="1263"/>
      <c r="B7" s="260" t="s">
        <v>915</v>
      </c>
      <c r="C7" s="260"/>
      <c r="D7" s="261" t="s">
        <v>906</v>
      </c>
      <c r="E7" s="261" t="s">
        <v>907</v>
      </c>
      <c r="F7" s="260"/>
      <c r="G7" s="260"/>
    </row>
    <row r="8" spans="1:11" ht="15" thickBot="1" x14ac:dyDescent="0.4">
      <c r="A8" s="262" t="s">
        <v>908</v>
      </c>
      <c r="B8" s="285">
        <f>B9+B14</f>
        <v>166447699</v>
      </c>
      <c r="C8" s="263"/>
      <c r="D8" s="263"/>
      <c r="E8" s="263">
        <f>E9+E14</f>
        <v>172456472</v>
      </c>
      <c r="F8" s="263">
        <f>F9+F14</f>
        <v>172456472</v>
      </c>
      <c r="G8" s="263">
        <f>G9+G14</f>
        <v>7539862</v>
      </c>
    </row>
    <row r="9" spans="1:11" ht="15" thickBot="1" x14ac:dyDescent="0.4">
      <c r="A9" s="262" t="s">
        <v>909</v>
      </c>
      <c r="B9" s="285">
        <f>B10+B11+B12+B13</f>
        <v>160404009</v>
      </c>
      <c r="C9" s="261"/>
      <c r="D9" s="261"/>
      <c r="E9" s="263">
        <f>E10+E11+E12+E13</f>
        <v>166412782</v>
      </c>
      <c r="F9" s="263">
        <f>F10+F11+F12+F13</f>
        <v>166412782</v>
      </c>
      <c r="G9" s="263">
        <f>G10+G11+G12+G13</f>
        <v>7287267</v>
      </c>
    </row>
    <row r="10" spans="1:11" ht="15" thickBot="1" x14ac:dyDescent="0.4">
      <c r="A10" s="264" t="s">
        <v>168</v>
      </c>
      <c r="B10" s="261"/>
      <c r="C10" s="261"/>
      <c r="D10" s="261"/>
      <c r="E10" s="261"/>
      <c r="F10" s="261"/>
      <c r="G10" s="261"/>
    </row>
    <row r="11" spans="1:11" ht="15" thickBot="1" x14ac:dyDescent="0.4">
      <c r="A11" s="264" t="s">
        <v>169</v>
      </c>
      <c r="B11" s="261">
        <v>141791834</v>
      </c>
      <c r="C11" s="261"/>
      <c r="D11" s="261"/>
      <c r="E11" s="261">
        <f>B11</f>
        <v>141791834</v>
      </c>
      <c r="F11" s="261">
        <f>E11</f>
        <v>141791834</v>
      </c>
      <c r="G11" s="261">
        <v>6238841</v>
      </c>
    </row>
    <row r="12" spans="1:11" ht="15" thickBot="1" x14ac:dyDescent="0.4">
      <c r="A12" s="264" t="s">
        <v>910</v>
      </c>
      <c r="B12" s="261">
        <v>9888086</v>
      </c>
      <c r="C12" s="261">
        <v>6008773</v>
      </c>
      <c r="D12" s="261"/>
      <c r="E12" s="261">
        <f>B12+C12</f>
        <v>15896859</v>
      </c>
      <c r="F12" s="261">
        <f>E12</f>
        <v>15896859</v>
      </c>
      <c r="G12" s="261">
        <v>699462</v>
      </c>
    </row>
    <row r="13" spans="1:11" ht="15" thickBot="1" x14ac:dyDescent="0.4">
      <c r="A13" s="264" t="s">
        <v>171</v>
      </c>
      <c r="B13" s="261">
        <v>8724089</v>
      </c>
      <c r="C13" s="261"/>
      <c r="D13" s="261"/>
      <c r="E13" s="261">
        <f>B13</f>
        <v>8724089</v>
      </c>
      <c r="F13" s="261">
        <f>E13</f>
        <v>8724089</v>
      </c>
      <c r="G13" s="261">
        <v>348964</v>
      </c>
    </row>
    <row r="14" spans="1:11" ht="15" thickBot="1" x14ac:dyDescent="0.4">
      <c r="A14" s="262" t="s">
        <v>911</v>
      </c>
      <c r="B14" s="263">
        <f>B17+B18</f>
        <v>6043690</v>
      </c>
      <c r="C14" s="261"/>
      <c r="D14" s="261"/>
      <c r="E14" s="263">
        <f>E15+E16+E17+E18</f>
        <v>6043690</v>
      </c>
      <c r="F14" s="261">
        <f>F15+F16+F17+F18</f>
        <v>6043690</v>
      </c>
      <c r="G14" s="263">
        <f>G15+G16+G17+G18</f>
        <v>252595</v>
      </c>
    </row>
    <row r="15" spans="1:11" ht="15" thickBot="1" x14ac:dyDescent="0.4">
      <c r="A15" s="264" t="s">
        <v>168</v>
      </c>
      <c r="B15" s="261"/>
      <c r="C15" s="261"/>
      <c r="D15" s="261"/>
      <c r="E15" s="261"/>
      <c r="F15" s="261"/>
      <c r="G15" s="261"/>
    </row>
    <row r="16" spans="1:11" ht="15" thickBot="1" x14ac:dyDescent="0.4">
      <c r="A16" s="264" t="s">
        <v>169</v>
      </c>
      <c r="B16" s="261"/>
      <c r="C16" s="261"/>
      <c r="D16" s="261"/>
      <c r="E16" s="261"/>
      <c r="F16" s="261"/>
      <c r="G16" s="261"/>
    </row>
    <row r="17" spans="1:7" ht="15" thickBot="1" x14ac:dyDescent="0.4">
      <c r="A17" s="264" t="s">
        <v>910</v>
      </c>
      <c r="B17" s="265">
        <v>2711802</v>
      </c>
      <c r="C17" s="261"/>
      <c r="D17" s="261"/>
      <c r="E17" s="261">
        <f>B17</f>
        <v>2711802</v>
      </c>
      <c r="F17" s="261">
        <f>E17</f>
        <v>2711802</v>
      </c>
      <c r="G17" s="261">
        <v>119319</v>
      </c>
    </row>
    <row r="18" spans="1:7" ht="15" thickBot="1" x14ac:dyDescent="0.4">
      <c r="A18" s="264" t="s">
        <v>171</v>
      </c>
      <c r="B18" s="265">
        <v>3331888</v>
      </c>
      <c r="C18" s="261"/>
      <c r="D18" s="261"/>
      <c r="E18" s="261">
        <f>B18</f>
        <v>3331888</v>
      </c>
      <c r="F18" s="261">
        <f>E18</f>
        <v>3331888</v>
      </c>
      <c r="G18" s="261">
        <v>133276</v>
      </c>
    </row>
    <row r="19" spans="1:7" ht="17" customHeight="1" thickBot="1" x14ac:dyDescent="0.4">
      <c r="A19" s="262" t="s">
        <v>912</v>
      </c>
      <c r="B19" s="263">
        <f>B20+B21+B22+B23</f>
        <v>85395816</v>
      </c>
      <c r="C19" s="263"/>
      <c r="D19" s="263"/>
      <c r="E19" s="263">
        <f>E20+E21+E22+E23</f>
        <v>89997816</v>
      </c>
      <c r="F19" s="263">
        <f>F20+F21+F22+F23</f>
        <v>89997816</v>
      </c>
      <c r="G19" s="285">
        <f>G20+G21+G22+G23</f>
        <v>3149923.56</v>
      </c>
    </row>
    <row r="20" spans="1:7" ht="15" thickBot="1" x14ac:dyDescent="0.4">
      <c r="A20" s="264" t="s">
        <v>168</v>
      </c>
      <c r="B20" s="261"/>
      <c r="C20" s="261"/>
      <c r="D20" s="261"/>
      <c r="E20" s="261"/>
      <c r="F20" s="261"/>
      <c r="G20" s="261"/>
    </row>
    <row r="21" spans="1:7" ht="15" thickBot="1" x14ac:dyDescent="0.4">
      <c r="A21" s="264" t="s">
        <v>169</v>
      </c>
      <c r="B21" s="261">
        <v>63000000</v>
      </c>
      <c r="C21" s="261"/>
      <c r="D21" s="261"/>
      <c r="E21" s="261">
        <f>B21</f>
        <v>63000000</v>
      </c>
      <c r="F21" s="261">
        <f>E21</f>
        <v>63000000</v>
      </c>
      <c r="G21" s="261">
        <v>2205000</v>
      </c>
    </row>
    <row r="22" spans="1:7" ht="15" thickBot="1" x14ac:dyDescent="0.4">
      <c r="A22" s="264" t="s">
        <v>910</v>
      </c>
      <c r="B22" s="261">
        <v>22395816</v>
      </c>
      <c r="C22" s="261">
        <v>4602000</v>
      </c>
      <c r="D22" s="261"/>
      <c r="E22" s="261">
        <f>B22+C22</f>
        <v>26997816</v>
      </c>
      <c r="F22" s="261">
        <f>E22</f>
        <v>26997816</v>
      </c>
      <c r="G22" s="748">
        <f>F22*3.5%</f>
        <v>944923.56</v>
      </c>
    </row>
    <row r="23" spans="1:7" ht="15" thickBot="1" x14ac:dyDescent="0.4">
      <c r="A23" s="264" t="s">
        <v>171</v>
      </c>
      <c r="B23" s="261"/>
      <c r="C23" s="261"/>
      <c r="D23" s="261"/>
      <c r="E23" s="261"/>
      <c r="F23" s="261"/>
      <c r="G23" s="261"/>
    </row>
    <row r="24" spans="1:7" ht="16" customHeight="1" thickBot="1" x14ac:dyDescent="0.4">
      <c r="A24" s="262" t="s">
        <v>913</v>
      </c>
      <c r="B24" s="263">
        <f>B27+B28</f>
        <v>5825093</v>
      </c>
      <c r="C24" s="263"/>
      <c r="D24" s="263"/>
      <c r="E24" s="263">
        <f>E27+E28</f>
        <v>16471093</v>
      </c>
      <c r="F24" s="263">
        <f>F27+F28</f>
        <v>16471093</v>
      </c>
      <c r="G24" s="263">
        <f>G27+G28</f>
        <v>1647109</v>
      </c>
    </row>
    <row r="25" spans="1:7" ht="15" thickBot="1" x14ac:dyDescent="0.4">
      <c r="A25" s="264" t="s">
        <v>168</v>
      </c>
      <c r="B25" s="261"/>
      <c r="C25" s="261"/>
      <c r="D25" s="261"/>
      <c r="E25" s="261"/>
      <c r="F25" s="261"/>
      <c r="G25" s="261"/>
    </row>
    <row r="26" spans="1:7" ht="15" thickBot="1" x14ac:dyDescent="0.4">
      <c r="A26" s="264" t="s">
        <v>169</v>
      </c>
      <c r="B26" s="261"/>
      <c r="C26" s="261"/>
      <c r="D26" s="261"/>
      <c r="E26" s="261"/>
      <c r="F26" s="261"/>
      <c r="G26" s="261"/>
    </row>
    <row r="27" spans="1:7" ht="17.25" customHeight="1" thickBot="1" x14ac:dyDescent="0.4">
      <c r="A27" s="264" t="s">
        <v>916</v>
      </c>
      <c r="B27" s="261"/>
      <c r="C27" s="261"/>
      <c r="D27" s="261"/>
      <c r="E27" s="261"/>
      <c r="F27" s="261"/>
      <c r="G27" s="261"/>
    </row>
    <row r="28" spans="1:7" ht="15.75" customHeight="1" thickBot="1" x14ac:dyDescent="0.4">
      <c r="A28" s="264" t="s">
        <v>917</v>
      </c>
      <c r="B28" s="261">
        <v>5825093</v>
      </c>
      <c r="C28" s="261">
        <v>10646000</v>
      </c>
      <c r="D28" s="261"/>
      <c r="E28" s="261">
        <f>B28+C28</f>
        <v>16471093</v>
      </c>
      <c r="F28" s="261">
        <f>E28</f>
        <v>16471093</v>
      </c>
      <c r="G28" s="261">
        <v>1647109</v>
      </c>
    </row>
    <row r="29" spans="1:7" ht="17.5" customHeight="1" thickBot="1" x14ac:dyDescent="0.4">
      <c r="A29" s="262" t="s">
        <v>918</v>
      </c>
      <c r="B29" s="263">
        <v>40506295</v>
      </c>
      <c r="C29" s="261"/>
      <c r="D29" s="261"/>
      <c r="E29" s="263">
        <f>B29</f>
        <v>40506295</v>
      </c>
      <c r="F29" s="263">
        <f>E29</f>
        <v>40506295</v>
      </c>
      <c r="G29" s="263">
        <v>1012657</v>
      </c>
    </row>
    <row r="30" spans="1:7" ht="14.25" customHeight="1" thickBot="1" x14ac:dyDescent="0.4">
      <c r="A30" s="262" t="s">
        <v>914</v>
      </c>
      <c r="B30" s="263">
        <f>B8+B19+B24+B29</f>
        <v>298174903</v>
      </c>
      <c r="C30" s="263">
        <f>C28+C12+C22</f>
        <v>21256773</v>
      </c>
      <c r="D30" s="263"/>
      <c r="E30" s="263">
        <f>E8+E19+E24+E29</f>
        <v>319431676</v>
      </c>
      <c r="F30" s="263">
        <f>F8+F19+F24+F29</f>
        <v>319431676</v>
      </c>
      <c r="G30" s="285">
        <f>G8+G19+G24+G29</f>
        <v>13349551.560000001</v>
      </c>
    </row>
    <row r="31" spans="1:7" x14ac:dyDescent="0.35">
      <c r="A31" s="266"/>
      <c r="B31" s="1"/>
      <c r="C31" s="1"/>
      <c r="D31" s="1"/>
      <c r="E31" s="1"/>
      <c r="F31" s="1"/>
      <c r="G31" s="1"/>
    </row>
    <row r="32" spans="1:7" x14ac:dyDescent="0.35">
      <c r="A32" t="s">
        <v>934</v>
      </c>
    </row>
  </sheetData>
  <mergeCells count="3">
    <mergeCell ref="A3:A7"/>
    <mergeCell ref="A1:G1"/>
    <mergeCell ref="A2:E2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6"/>
  <sheetViews>
    <sheetView tabSelected="1" topLeftCell="A55" workbookViewId="0">
      <selection activeCell="A45" sqref="A45:J67"/>
    </sheetView>
  </sheetViews>
  <sheetFormatPr defaultRowHeight="14.5" x14ac:dyDescent="0.35"/>
  <cols>
    <col min="1" max="1" width="4.1796875" customWidth="1"/>
    <col min="2" max="2" width="18.7265625" customWidth="1"/>
    <col min="3" max="3" width="15.81640625" customWidth="1"/>
    <col min="4" max="4" width="13.54296875" customWidth="1"/>
    <col min="5" max="5" width="16.1796875" customWidth="1"/>
    <col min="6" max="6" width="13.453125" customWidth="1"/>
    <col min="7" max="7" width="14.81640625" customWidth="1"/>
  </cols>
  <sheetData>
    <row r="2" spans="2:7" ht="15.5" x14ac:dyDescent="0.35">
      <c r="B2" s="602" t="s">
        <v>993</v>
      </c>
      <c r="C2" s="602"/>
      <c r="D2" s="602"/>
    </row>
    <row r="4" spans="2:7" x14ac:dyDescent="0.35">
      <c r="B4" t="s">
        <v>1017</v>
      </c>
    </row>
    <row r="5" spans="2:7" x14ac:dyDescent="0.35">
      <c r="E5" t="s">
        <v>929</v>
      </c>
      <c r="G5" t="s">
        <v>931</v>
      </c>
    </row>
    <row r="6" spans="2:7" ht="49.5" customHeight="1" x14ac:dyDescent="0.35">
      <c r="B6" s="41" t="s">
        <v>994</v>
      </c>
      <c r="C6" s="331" t="s">
        <v>995</v>
      </c>
      <c r="D6" s="331" t="s">
        <v>996</v>
      </c>
      <c r="E6" s="331" t="s">
        <v>997</v>
      </c>
      <c r="F6" s="331" t="s">
        <v>996</v>
      </c>
      <c r="G6" s="331" t="s">
        <v>997</v>
      </c>
    </row>
    <row r="8" spans="2:7" x14ac:dyDescent="0.35">
      <c r="B8" s="41" t="s">
        <v>998</v>
      </c>
      <c r="C8" s="41">
        <v>3.91</v>
      </c>
      <c r="D8" s="41">
        <v>134589.17000000001</v>
      </c>
      <c r="E8" s="332">
        <f>D8*C8</f>
        <v>526243.65470000007</v>
      </c>
      <c r="F8" s="41">
        <v>137280.95000000001</v>
      </c>
      <c r="G8" s="332">
        <f>F8*C8</f>
        <v>536768.51450000005</v>
      </c>
    </row>
    <row r="9" spans="2:7" x14ac:dyDescent="0.35">
      <c r="B9" s="41" t="s">
        <v>999</v>
      </c>
      <c r="C9" s="41">
        <v>3.91</v>
      </c>
      <c r="D9" s="41">
        <v>134589.17000000001</v>
      </c>
      <c r="E9" s="332">
        <f t="shared" ref="E9:E19" si="0">D9*C9</f>
        <v>526243.65470000007</v>
      </c>
      <c r="F9" s="41">
        <v>137280.95000000001</v>
      </c>
      <c r="G9" s="332">
        <f t="shared" ref="G9:G19" si="1">F9*C9</f>
        <v>536768.51450000005</v>
      </c>
    </row>
    <row r="10" spans="2:7" x14ac:dyDescent="0.35">
      <c r="B10" s="41" t="s">
        <v>1000</v>
      </c>
      <c r="C10" s="41">
        <v>3.91</v>
      </c>
      <c r="D10" s="41">
        <v>134589.17000000001</v>
      </c>
      <c r="E10" s="332">
        <f t="shared" si="0"/>
        <v>526243.65470000007</v>
      </c>
      <c r="F10" s="41">
        <v>137280.95000000001</v>
      </c>
      <c r="G10" s="332">
        <f t="shared" si="1"/>
        <v>536768.51450000005</v>
      </c>
    </row>
    <row r="11" spans="2:7" x14ac:dyDescent="0.35">
      <c r="B11" s="41" t="s">
        <v>1001</v>
      </c>
      <c r="C11" s="41">
        <v>3.91</v>
      </c>
      <c r="D11" s="41">
        <v>134589.17000000001</v>
      </c>
      <c r="E11" s="332">
        <f t="shared" si="0"/>
        <v>526243.65470000007</v>
      </c>
      <c r="F11" s="41">
        <v>137280.95000000001</v>
      </c>
      <c r="G11" s="332">
        <f t="shared" si="1"/>
        <v>536768.51450000005</v>
      </c>
    </row>
    <row r="12" spans="2:7" x14ac:dyDescent="0.35">
      <c r="B12" s="41" t="s">
        <v>1002</v>
      </c>
      <c r="C12" s="41">
        <v>3.91</v>
      </c>
      <c r="D12" s="41">
        <v>134589.17000000001</v>
      </c>
      <c r="E12" s="332">
        <f t="shared" si="0"/>
        <v>526243.65470000007</v>
      </c>
      <c r="F12" s="41">
        <v>137280.95000000001</v>
      </c>
      <c r="G12" s="332">
        <f t="shared" si="1"/>
        <v>536768.51450000005</v>
      </c>
    </row>
    <row r="13" spans="2:7" x14ac:dyDescent="0.35">
      <c r="B13" s="41" t="s">
        <v>1003</v>
      </c>
      <c r="C13" s="41">
        <v>3.91</v>
      </c>
      <c r="D13" s="41">
        <v>134589.17000000001</v>
      </c>
      <c r="E13" s="332">
        <f t="shared" si="0"/>
        <v>526243.65470000007</v>
      </c>
      <c r="F13" s="41">
        <v>137280.95000000001</v>
      </c>
      <c r="G13" s="332">
        <f t="shared" si="1"/>
        <v>536768.51450000005</v>
      </c>
    </row>
    <row r="14" spans="2:7" x14ac:dyDescent="0.35">
      <c r="B14" s="41" t="s">
        <v>1004</v>
      </c>
      <c r="C14" s="41">
        <v>3.91</v>
      </c>
      <c r="D14" s="41">
        <v>137280.95000000001</v>
      </c>
      <c r="E14" s="332">
        <f t="shared" si="0"/>
        <v>536768.51450000005</v>
      </c>
      <c r="F14" s="41">
        <v>141399.79</v>
      </c>
      <c r="G14" s="332">
        <f t="shared" si="1"/>
        <v>552873.17890000006</v>
      </c>
    </row>
    <row r="15" spans="2:7" x14ac:dyDescent="0.35">
      <c r="B15" s="41" t="s">
        <v>1005</v>
      </c>
      <c r="C15" s="41">
        <v>3.91</v>
      </c>
      <c r="D15" s="41">
        <v>137280.95000000001</v>
      </c>
      <c r="E15" s="332">
        <f t="shared" si="0"/>
        <v>536768.51450000005</v>
      </c>
      <c r="F15" s="41">
        <v>141399.79</v>
      </c>
      <c r="G15" s="332">
        <f t="shared" si="1"/>
        <v>552873.17890000006</v>
      </c>
    </row>
    <row r="16" spans="2:7" x14ac:dyDescent="0.35">
      <c r="B16" s="41" t="s">
        <v>1006</v>
      </c>
      <c r="C16" s="41">
        <v>3.91</v>
      </c>
      <c r="D16" s="41">
        <v>137280.95000000001</v>
      </c>
      <c r="E16" s="332">
        <f t="shared" si="0"/>
        <v>536768.51450000005</v>
      </c>
      <c r="F16" s="41">
        <v>141399.79</v>
      </c>
      <c r="G16" s="332">
        <f t="shared" si="1"/>
        <v>552873.17890000006</v>
      </c>
    </row>
    <row r="17" spans="2:7" x14ac:dyDescent="0.35">
      <c r="B17" s="41" t="s">
        <v>1007</v>
      </c>
      <c r="C17" s="41">
        <v>3.91</v>
      </c>
      <c r="D17" s="41">
        <v>137280.95000000001</v>
      </c>
      <c r="E17" s="332">
        <f t="shared" si="0"/>
        <v>536768.51450000005</v>
      </c>
      <c r="F17" s="41">
        <v>141399.79</v>
      </c>
      <c r="G17" s="332">
        <f t="shared" si="1"/>
        <v>552873.17890000006</v>
      </c>
    </row>
    <row r="18" spans="2:7" x14ac:dyDescent="0.35">
      <c r="B18" s="41" t="s">
        <v>1008</v>
      </c>
      <c r="C18" s="41">
        <v>3.91</v>
      </c>
      <c r="D18" s="41">
        <v>137280.95000000001</v>
      </c>
      <c r="E18" s="332">
        <f t="shared" si="0"/>
        <v>536768.51450000005</v>
      </c>
      <c r="F18" s="41">
        <v>141399.79</v>
      </c>
      <c r="G18" s="332">
        <f t="shared" si="1"/>
        <v>552873.17890000006</v>
      </c>
    </row>
    <row r="19" spans="2:7" x14ac:dyDescent="0.35">
      <c r="B19" s="41" t="s">
        <v>1009</v>
      </c>
      <c r="C19" s="41">
        <v>3.91</v>
      </c>
      <c r="D19" s="41">
        <v>137280.95000000001</v>
      </c>
      <c r="E19" s="332">
        <f t="shared" si="0"/>
        <v>536768.51450000005</v>
      </c>
      <c r="F19" s="41">
        <v>141399.79</v>
      </c>
      <c r="G19" s="332">
        <f t="shared" si="1"/>
        <v>552873.17890000006</v>
      </c>
    </row>
    <row r="20" spans="2:7" x14ac:dyDescent="0.35">
      <c r="B20" s="683" t="s">
        <v>1010</v>
      </c>
      <c r="C20" s="683"/>
      <c r="D20" s="683"/>
      <c r="E20" s="333">
        <f>SUM(E8:E19)</f>
        <v>6378073.0151999984</v>
      </c>
      <c r="G20" s="333">
        <f>SUM(G8:G19)</f>
        <v>6537850.1603999995</v>
      </c>
    </row>
    <row r="21" spans="2:7" x14ac:dyDescent="0.35">
      <c r="B21" s="580"/>
      <c r="C21" s="580"/>
      <c r="D21" s="580"/>
      <c r="E21" s="333"/>
      <c r="G21" s="333"/>
    </row>
    <row r="22" spans="2:7" x14ac:dyDescent="0.35">
      <c r="B22" s="44" t="s">
        <v>1047</v>
      </c>
    </row>
    <row r="24" spans="2:7" x14ac:dyDescent="0.35">
      <c r="B24" s="85" t="s">
        <v>1011</v>
      </c>
    </row>
    <row r="25" spans="2:7" x14ac:dyDescent="0.35">
      <c r="G25" t="s">
        <v>929</v>
      </c>
    </row>
    <row r="26" spans="2:7" ht="60" customHeight="1" x14ac:dyDescent="0.35">
      <c r="B26" s="41" t="s">
        <v>994</v>
      </c>
      <c r="C26" s="331" t="s">
        <v>1053</v>
      </c>
      <c r="D26" s="331" t="s">
        <v>1012</v>
      </c>
      <c r="E26" s="331" t="s">
        <v>1013</v>
      </c>
      <c r="F26" s="331" t="s">
        <v>1014</v>
      </c>
      <c r="G26" s="331" t="s">
        <v>1015</v>
      </c>
    </row>
    <row r="27" spans="2:7" x14ac:dyDescent="0.35">
      <c r="B27" t="s">
        <v>929</v>
      </c>
    </row>
    <row r="28" spans="2:7" x14ac:dyDescent="0.35">
      <c r="B28" s="41" t="s">
        <v>998</v>
      </c>
      <c r="C28" s="41">
        <v>2268.8560000000002</v>
      </c>
      <c r="D28" s="41">
        <v>7.4</v>
      </c>
      <c r="E28" s="332">
        <f>C28*D28%</f>
        <v>167.89534400000005</v>
      </c>
      <c r="F28" s="41">
        <v>1983.71</v>
      </c>
      <c r="G28" s="332">
        <f>E28*F28</f>
        <v>333055.67284624011</v>
      </c>
    </row>
    <row r="29" spans="2:7" x14ac:dyDescent="0.35">
      <c r="B29" s="41" t="s">
        <v>999</v>
      </c>
      <c r="C29" s="41">
        <v>1899.76</v>
      </c>
      <c r="D29" s="41">
        <v>7.4</v>
      </c>
      <c r="E29" s="332">
        <f t="shared" ref="E29:E39" si="2">C29*D29%</f>
        <v>140.58224000000001</v>
      </c>
      <c r="F29" s="41">
        <v>1983.71</v>
      </c>
      <c r="G29" s="332">
        <f t="shared" ref="G29:G39" si="3">E29*F29</f>
        <v>278874.39531040005</v>
      </c>
    </row>
    <row r="30" spans="2:7" x14ac:dyDescent="0.35">
      <c r="B30" s="41" t="s">
        <v>1000</v>
      </c>
      <c r="C30" s="41">
        <v>1920.434</v>
      </c>
      <c r="D30" s="41">
        <v>7.4</v>
      </c>
      <c r="E30" s="332">
        <f t="shared" si="2"/>
        <v>142.11211600000001</v>
      </c>
      <c r="F30" s="41">
        <v>1983.71</v>
      </c>
      <c r="G30" s="332">
        <f t="shared" si="3"/>
        <v>281909.22563036002</v>
      </c>
    </row>
    <row r="31" spans="2:7" x14ac:dyDescent="0.35">
      <c r="B31" s="41" t="s">
        <v>1001</v>
      </c>
      <c r="C31" s="41">
        <v>1541.079</v>
      </c>
      <c r="D31" s="41">
        <v>7.4</v>
      </c>
      <c r="E31" s="332">
        <f t="shared" si="2"/>
        <v>114.03984600000001</v>
      </c>
      <c r="F31" s="41">
        <v>1983.71</v>
      </c>
      <c r="G31" s="332">
        <f t="shared" si="3"/>
        <v>226221.98290866002</v>
      </c>
    </row>
    <row r="32" spans="2:7" x14ac:dyDescent="0.35">
      <c r="B32" s="41" t="s">
        <v>1002</v>
      </c>
      <c r="C32" s="41">
        <v>1400.222</v>
      </c>
      <c r="D32" s="41">
        <v>7.4</v>
      </c>
      <c r="E32" s="332">
        <f t="shared" si="2"/>
        <v>103.61642800000001</v>
      </c>
      <c r="F32" s="41">
        <v>1983.71</v>
      </c>
      <c r="G32" s="332">
        <f t="shared" si="3"/>
        <v>205544.94438788004</v>
      </c>
    </row>
    <row r="33" spans="2:7" x14ac:dyDescent="0.35">
      <c r="B33" s="41" t="s">
        <v>1003</v>
      </c>
      <c r="C33" s="41">
        <v>1140.6130000000001</v>
      </c>
      <c r="D33" s="41">
        <v>7.4</v>
      </c>
      <c r="E33" s="332">
        <f t="shared" si="2"/>
        <v>84.405362000000011</v>
      </c>
      <c r="F33" s="41">
        <v>1983.71</v>
      </c>
      <c r="G33" s="332">
        <f t="shared" si="3"/>
        <v>167435.76065302003</v>
      </c>
    </row>
    <row r="34" spans="2:7" x14ac:dyDescent="0.35">
      <c r="B34" s="41" t="s">
        <v>1004</v>
      </c>
      <c r="C34" s="41">
        <v>1133.4000000000001</v>
      </c>
      <c r="D34" s="41">
        <v>7.4</v>
      </c>
      <c r="E34" s="332">
        <f t="shared" si="2"/>
        <v>83.871600000000015</v>
      </c>
      <c r="F34" s="332">
        <f t="shared" ref="F34:F39" si="4">1983.71*1.03</f>
        <v>2043.2213000000002</v>
      </c>
      <c r="G34" s="332">
        <f t="shared" si="3"/>
        <v>171368.23958508004</v>
      </c>
    </row>
    <row r="35" spans="2:7" x14ac:dyDescent="0.35">
      <c r="B35" s="41" t="s">
        <v>1005</v>
      </c>
      <c r="C35" s="41">
        <v>1061.174</v>
      </c>
      <c r="D35" s="41">
        <v>7.4</v>
      </c>
      <c r="E35" s="332">
        <f t="shared" si="2"/>
        <v>78.526876000000016</v>
      </c>
      <c r="F35" s="332">
        <f t="shared" si="4"/>
        <v>2043.2213000000002</v>
      </c>
      <c r="G35" s="332">
        <f t="shared" si="3"/>
        <v>160447.78566565886</v>
      </c>
    </row>
    <row r="36" spans="2:7" x14ac:dyDescent="0.35">
      <c r="B36" s="41" t="s">
        <v>1006</v>
      </c>
      <c r="C36" s="41">
        <v>1157.78</v>
      </c>
      <c r="D36" s="41">
        <v>7.4</v>
      </c>
      <c r="E36" s="332">
        <f t="shared" si="2"/>
        <v>85.675720000000013</v>
      </c>
      <c r="F36" s="332">
        <f t="shared" si="4"/>
        <v>2043.2213000000002</v>
      </c>
      <c r="G36" s="332">
        <f t="shared" si="3"/>
        <v>175054.45599683604</v>
      </c>
    </row>
    <row r="37" spans="2:7" x14ac:dyDescent="0.35">
      <c r="B37" s="41" t="s">
        <v>1007</v>
      </c>
      <c r="C37" s="41">
        <v>1463.837</v>
      </c>
      <c r="D37" s="41">
        <v>7.4</v>
      </c>
      <c r="E37" s="332">
        <f t="shared" si="2"/>
        <v>108.32393800000001</v>
      </c>
      <c r="F37" s="332">
        <f t="shared" si="4"/>
        <v>2043.2213000000002</v>
      </c>
      <c r="G37" s="332">
        <f t="shared" si="3"/>
        <v>221329.77742147943</v>
      </c>
    </row>
    <row r="38" spans="2:7" x14ac:dyDescent="0.35">
      <c r="B38" s="41" t="s">
        <v>1008</v>
      </c>
      <c r="C38" s="41">
        <v>1652.8</v>
      </c>
      <c r="D38" s="41">
        <v>7.4</v>
      </c>
      <c r="E38" s="332">
        <f t="shared" si="2"/>
        <v>122.30720000000001</v>
      </c>
      <c r="F38" s="332">
        <f t="shared" si="4"/>
        <v>2043.2213000000002</v>
      </c>
      <c r="G38" s="332">
        <f t="shared" si="3"/>
        <v>249900.67618336005</v>
      </c>
    </row>
    <row r="39" spans="2:7" x14ac:dyDescent="0.35">
      <c r="B39" s="41" t="s">
        <v>1009</v>
      </c>
      <c r="C39" s="41">
        <v>1979.2139999999999</v>
      </c>
      <c r="D39" s="41">
        <v>7.4</v>
      </c>
      <c r="E39" s="332">
        <f t="shared" si="2"/>
        <v>146.46183600000001</v>
      </c>
      <c r="F39" s="332">
        <f t="shared" si="4"/>
        <v>2043.2213000000002</v>
      </c>
      <c r="G39" s="332">
        <f t="shared" si="3"/>
        <v>299253.94295230682</v>
      </c>
    </row>
    <row r="40" spans="2:7" x14ac:dyDescent="0.35">
      <c r="B40" s="601" t="s">
        <v>1195</v>
      </c>
      <c r="C40" s="85">
        <f>SUM(C28:C39)</f>
        <v>18619.169000000002</v>
      </c>
      <c r="D40" s="85"/>
      <c r="E40" s="333">
        <f>SUM(E28:E39)</f>
        <v>1377.8185060000001</v>
      </c>
      <c r="F40" s="85"/>
      <c r="G40" s="333">
        <f>SUM(G28:G39)</f>
        <v>2770396.8595412821</v>
      </c>
    </row>
    <row r="41" spans="2:7" x14ac:dyDescent="0.35">
      <c r="B41" s="44"/>
    </row>
    <row r="42" spans="2:7" x14ac:dyDescent="0.35">
      <c r="B42" s="85" t="s">
        <v>1016</v>
      </c>
      <c r="C42" s="85"/>
      <c r="E42" s="333">
        <f>E20+G40</f>
        <v>9148469.8747412805</v>
      </c>
    </row>
    <row r="43" spans="2:7" x14ac:dyDescent="0.35">
      <c r="B43" s="85"/>
      <c r="C43" s="85"/>
      <c r="E43" s="333"/>
    </row>
    <row r="44" spans="2:7" x14ac:dyDescent="0.35">
      <c r="B44" s="44" t="s">
        <v>1047</v>
      </c>
    </row>
    <row r="45" spans="2:7" x14ac:dyDescent="0.35">
      <c r="B45" s="44"/>
    </row>
    <row r="46" spans="2:7" x14ac:dyDescent="0.35">
      <c r="B46" s="85" t="s">
        <v>1018</v>
      </c>
    </row>
    <row r="47" spans="2:7" x14ac:dyDescent="0.35">
      <c r="G47" t="s">
        <v>931</v>
      </c>
    </row>
    <row r="48" spans="2:7" ht="43.5" x14ac:dyDescent="0.35">
      <c r="B48" s="41" t="s">
        <v>994</v>
      </c>
      <c r="C48" s="331" t="s">
        <v>1053</v>
      </c>
      <c r="D48" s="331" t="s">
        <v>1012</v>
      </c>
      <c r="E48" s="331" t="s">
        <v>1013</v>
      </c>
      <c r="F48" s="331" t="s">
        <v>1014</v>
      </c>
      <c r="G48" s="331" t="s">
        <v>1015</v>
      </c>
    </row>
    <row r="49" spans="2:7" x14ac:dyDescent="0.35">
      <c r="B49" t="s">
        <v>931</v>
      </c>
    </row>
    <row r="50" spans="2:7" x14ac:dyDescent="0.35">
      <c r="B50" s="41" t="s">
        <v>998</v>
      </c>
      <c r="C50" s="41">
        <v>2268.8560000000002</v>
      </c>
      <c r="D50" s="41">
        <v>7.4</v>
      </c>
      <c r="E50" s="332">
        <f>C50*D50%</f>
        <v>167.89534400000005</v>
      </c>
      <c r="F50" s="332">
        <f>1983.71*1.03</f>
        <v>2043.2213000000002</v>
      </c>
      <c r="G50" s="332">
        <f>E50*F50</f>
        <v>343047.34303162736</v>
      </c>
    </row>
    <row r="51" spans="2:7" x14ac:dyDescent="0.35">
      <c r="B51" s="41" t="s">
        <v>999</v>
      </c>
      <c r="C51" s="41">
        <v>1899.76</v>
      </c>
      <c r="D51" s="41">
        <v>7.4</v>
      </c>
      <c r="E51" s="332">
        <f t="shared" ref="E51:E61" si="5">C51*D51%</f>
        <v>140.58224000000001</v>
      </c>
      <c r="F51" s="332">
        <f t="shared" ref="F51:F55" si="6">1983.71*1.03</f>
        <v>2043.2213000000002</v>
      </c>
      <c r="G51" s="332">
        <f t="shared" ref="G51:G61" si="7">E51*F51</f>
        <v>287240.62716971204</v>
      </c>
    </row>
    <row r="52" spans="2:7" x14ac:dyDescent="0.35">
      <c r="B52" s="41" t="s">
        <v>1000</v>
      </c>
      <c r="C52" s="41">
        <v>1920.434</v>
      </c>
      <c r="D52" s="41">
        <v>7.4</v>
      </c>
      <c r="E52" s="332">
        <f t="shared" si="5"/>
        <v>142.11211600000001</v>
      </c>
      <c r="F52" s="332">
        <f t="shared" si="6"/>
        <v>2043.2213000000002</v>
      </c>
      <c r="G52" s="332">
        <f t="shared" si="7"/>
        <v>290366.50239927083</v>
      </c>
    </row>
    <row r="53" spans="2:7" x14ac:dyDescent="0.35">
      <c r="B53" s="41" t="s">
        <v>1001</v>
      </c>
      <c r="C53" s="41">
        <v>1541.079</v>
      </c>
      <c r="D53" s="41">
        <v>7.4</v>
      </c>
      <c r="E53" s="332">
        <f t="shared" si="5"/>
        <v>114.03984600000001</v>
      </c>
      <c r="F53" s="332">
        <f t="shared" si="6"/>
        <v>2043.2213000000002</v>
      </c>
      <c r="G53" s="332">
        <f t="shared" si="7"/>
        <v>233008.64239591983</v>
      </c>
    </row>
    <row r="54" spans="2:7" x14ac:dyDescent="0.35">
      <c r="B54" s="41" t="s">
        <v>1002</v>
      </c>
      <c r="C54" s="41">
        <v>1400.222</v>
      </c>
      <c r="D54" s="41">
        <v>7.4</v>
      </c>
      <c r="E54" s="332">
        <f t="shared" si="5"/>
        <v>103.61642800000001</v>
      </c>
      <c r="F54" s="332">
        <f t="shared" si="6"/>
        <v>2043.2213000000002</v>
      </c>
      <c r="G54" s="332">
        <f t="shared" si="7"/>
        <v>211711.29271951644</v>
      </c>
    </row>
    <row r="55" spans="2:7" x14ac:dyDescent="0.35">
      <c r="B55" s="41" t="s">
        <v>1003</v>
      </c>
      <c r="C55" s="41">
        <v>1140.6130000000001</v>
      </c>
      <c r="D55" s="41">
        <v>7.4</v>
      </c>
      <c r="E55" s="332">
        <f t="shared" si="5"/>
        <v>84.405362000000011</v>
      </c>
      <c r="F55" s="332">
        <f t="shared" si="6"/>
        <v>2043.2213000000002</v>
      </c>
      <c r="G55" s="332">
        <f t="shared" si="7"/>
        <v>172458.83347261063</v>
      </c>
    </row>
    <row r="56" spans="2:7" x14ac:dyDescent="0.35">
      <c r="B56" s="41" t="s">
        <v>1004</v>
      </c>
      <c r="C56" s="41">
        <v>1133.4000000000001</v>
      </c>
      <c r="D56" s="41">
        <v>7.4</v>
      </c>
      <c r="E56" s="332">
        <f t="shared" si="5"/>
        <v>83.871600000000015</v>
      </c>
      <c r="F56" s="332">
        <f>2043.22*1.03</f>
        <v>2104.5165999999999</v>
      </c>
      <c r="G56" s="332">
        <f t="shared" si="7"/>
        <v>176509.17446856003</v>
      </c>
    </row>
    <row r="57" spans="2:7" x14ac:dyDescent="0.35">
      <c r="B57" s="41" t="s">
        <v>1005</v>
      </c>
      <c r="C57" s="41">
        <v>1061.174</v>
      </c>
      <c r="D57" s="41">
        <v>7.4</v>
      </c>
      <c r="E57" s="332">
        <f t="shared" si="5"/>
        <v>78.526876000000016</v>
      </c>
      <c r="F57" s="332">
        <f t="shared" ref="F57:F61" si="8">2043.22*1.03</f>
        <v>2104.5165999999999</v>
      </c>
      <c r="G57" s="332">
        <f t="shared" si="7"/>
        <v>165261.11408814162</v>
      </c>
    </row>
    <row r="58" spans="2:7" x14ac:dyDescent="0.35">
      <c r="B58" s="41" t="s">
        <v>1006</v>
      </c>
      <c r="C58" s="41">
        <v>1157.78</v>
      </c>
      <c r="D58" s="41">
        <v>7.4</v>
      </c>
      <c r="E58" s="332">
        <f t="shared" si="5"/>
        <v>85.675720000000013</v>
      </c>
      <c r="F58" s="332">
        <f t="shared" si="8"/>
        <v>2104.5165999999999</v>
      </c>
      <c r="G58" s="332">
        <f t="shared" si="7"/>
        <v>180305.97495695201</v>
      </c>
    </row>
    <row r="59" spans="2:7" x14ac:dyDescent="0.35">
      <c r="B59" s="41" t="s">
        <v>1007</v>
      </c>
      <c r="C59" s="41">
        <v>1463.837</v>
      </c>
      <c r="D59" s="41">
        <v>7.4</v>
      </c>
      <c r="E59" s="332">
        <f t="shared" si="5"/>
        <v>108.32393800000001</v>
      </c>
      <c r="F59" s="332">
        <f t="shared" si="8"/>
        <v>2104.5165999999999</v>
      </c>
      <c r="G59" s="332">
        <f t="shared" si="7"/>
        <v>227969.52569837082</v>
      </c>
    </row>
    <row r="60" spans="2:7" x14ac:dyDescent="0.35">
      <c r="B60" s="41" t="s">
        <v>1008</v>
      </c>
      <c r="C60" s="41">
        <v>1652.8</v>
      </c>
      <c r="D60" s="41">
        <v>7.4</v>
      </c>
      <c r="E60" s="332">
        <f t="shared" si="5"/>
        <v>122.30720000000001</v>
      </c>
      <c r="F60" s="332">
        <f t="shared" si="8"/>
        <v>2104.5165999999999</v>
      </c>
      <c r="G60" s="332">
        <f t="shared" si="7"/>
        <v>257397.53269952</v>
      </c>
    </row>
    <row r="61" spans="2:7" x14ac:dyDescent="0.35">
      <c r="B61" s="41" t="s">
        <v>1009</v>
      </c>
      <c r="C61" s="41">
        <v>1979.2139999999999</v>
      </c>
      <c r="D61" s="41">
        <v>7.4</v>
      </c>
      <c r="E61" s="332">
        <f t="shared" si="5"/>
        <v>146.46183600000001</v>
      </c>
      <c r="F61" s="332">
        <f t="shared" si="8"/>
        <v>2104.5165999999999</v>
      </c>
      <c r="G61" s="332">
        <f t="shared" si="7"/>
        <v>308231.36512847763</v>
      </c>
    </row>
    <row r="62" spans="2:7" x14ac:dyDescent="0.35">
      <c r="B62" s="601" t="s">
        <v>210</v>
      </c>
      <c r="C62" s="85">
        <f>SUM(C50:C61)</f>
        <v>18619.169000000002</v>
      </c>
      <c r="D62" s="85"/>
      <c r="E62" s="333">
        <f>SUM(E50:E61)</f>
        <v>1377.8185060000001</v>
      </c>
      <c r="F62" s="85"/>
      <c r="G62" s="333">
        <f>SUM(G50:G61)</f>
        <v>2853507.9282286796</v>
      </c>
    </row>
    <row r="63" spans="2:7" x14ac:dyDescent="0.35">
      <c r="B63" s="44"/>
    </row>
    <row r="64" spans="2:7" x14ac:dyDescent="0.35">
      <c r="B64" s="85" t="s">
        <v>1019</v>
      </c>
      <c r="C64" s="85"/>
      <c r="E64" s="333">
        <f>G20+G62</f>
        <v>9391358.0886286795</v>
      </c>
    </row>
    <row r="65" spans="2:5" x14ac:dyDescent="0.35">
      <c r="B65" s="85"/>
      <c r="C65" s="85"/>
      <c r="E65" s="333"/>
    </row>
    <row r="66" spans="2:5" x14ac:dyDescent="0.35">
      <c r="B66" s="44" t="s">
        <v>1047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S30" sqref="A1:S30"/>
    </sheetView>
  </sheetViews>
  <sheetFormatPr defaultRowHeight="14.5" x14ac:dyDescent="0.35"/>
  <cols>
    <col min="2" max="3" width="6.26953125" customWidth="1"/>
    <col min="4" max="4" width="7.1796875" customWidth="1"/>
    <col min="5" max="5" width="6.26953125" customWidth="1"/>
    <col min="6" max="6" width="7" customWidth="1"/>
    <col min="7" max="7" width="6.81640625" customWidth="1"/>
    <col min="8" max="8" width="6.453125" customWidth="1"/>
    <col min="9" max="9" width="7" customWidth="1"/>
    <col min="10" max="10" width="6.7265625" customWidth="1"/>
    <col min="11" max="11" width="7.1796875" customWidth="1"/>
    <col min="12" max="12" width="6.54296875" customWidth="1"/>
    <col min="13" max="13" width="6.7265625" customWidth="1"/>
    <col min="14" max="14" width="6.26953125" customWidth="1"/>
    <col min="15" max="15" width="6.81640625" customWidth="1"/>
    <col min="16" max="16" width="7.81640625" customWidth="1"/>
    <col min="17" max="17" width="7.26953125" customWidth="1"/>
    <col min="18" max="18" width="6.26953125" customWidth="1"/>
    <col min="19" max="19" width="7" customWidth="1"/>
  </cols>
  <sheetData>
    <row r="1" spans="1:19" x14ac:dyDescent="0.35">
      <c r="O1" s="47" t="s">
        <v>102</v>
      </c>
      <c r="P1" s="48"/>
      <c r="Q1" s="48"/>
      <c r="R1" s="45"/>
    </row>
    <row r="2" spans="1:19" x14ac:dyDescent="0.35">
      <c r="O2" s="48" t="s">
        <v>103</v>
      </c>
      <c r="P2" s="48"/>
      <c r="Q2" s="48"/>
      <c r="R2" s="45"/>
    </row>
    <row r="3" spans="1:19" x14ac:dyDescent="0.35">
      <c r="O3" s="48" t="s">
        <v>104</v>
      </c>
      <c r="P3" s="48"/>
      <c r="Q3" s="48"/>
      <c r="R3" s="45"/>
    </row>
    <row r="4" spans="1:19" x14ac:dyDescent="0.35">
      <c r="D4" s="29"/>
      <c r="O4" s="48" t="s">
        <v>1062</v>
      </c>
      <c r="P4" s="48"/>
      <c r="Q4" s="48"/>
      <c r="R4" s="45"/>
    </row>
    <row r="5" spans="1:19" x14ac:dyDescent="0.35">
      <c r="D5" s="241" t="s">
        <v>239</v>
      </c>
    </row>
    <row r="6" spans="1:19" ht="9.75" customHeight="1" x14ac:dyDescent="0.35">
      <c r="H6" s="44"/>
      <c r="I6" s="44"/>
      <c r="J6" s="44"/>
      <c r="K6" s="44"/>
      <c r="L6" s="44"/>
      <c r="M6" s="44"/>
      <c r="N6" s="44"/>
      <c r="O6" s="44"/>
    </row>
    <row r="7" spans="1:19" ht="33.75" customHeight="1" x14ac:dyDescent="0.35">
      <c r="A7" s="947" t="s">
        <v>954</v>
      </c>
      <c r="B7" s="948"/>
      <c r="C7" s="948"/>
      <c r="D7" s="948"/>
      <c r="E7" s="948"/>
      <c r="F7" s="948"/>
      <c r="G7" s="948"/>
      <c r="H7" s="948"/>
      <c r="I7" s="948"/>
      <c r="J7" s="948"/>
      <c r="K7" s="948"/>
      <c r="L7" s="948"/>
      <c r="M7" s="948"/>
      <c r="N7" s="948"/>
      <c r="O7" s="948"/>
      <c r="P7" s="948"/>
      <c r="Q7" s="948"/>
      <c r="R7" s="948"/>
      <c r="S7" s="949"/>
    </row>
    <row r="8" spans="1:19" x14ac:dyDescent="0.35">
      <c r="A8" s="39" t="s">
        <v>83</v>
      </c>
      <c r="B8" s="56">
        <v>1</v>
      </c>
      <c r="C8" s="56"/>
      <c r="D8" s="56"/>
      <c r="E8" s="56"/>
      <c r="F8" s="56">
        <v>2</v>
      </c>
      <c r="G8" s="56"/>
      <c r="H8" s="56"/>
      <c r="I8" s="56"/>
      <c r="J8" s="56">
        <v>3</v>
      </c>
      <c r="K8" s="56"/>
      <c r="L8" s="56"/>
      <c r="M8" s="56"/>
      <c r="N8" s="56"/>
      <c r="O8" s="56">
        <v>4</v>
      </c>
      <c r="P8" s="56"/>
      <c r="Q8" s="56"/>
      <c r="R8" s="56"/>
      <c r="S8" s="56"/>
    </row>
    <row r="9" spans="1:19" x14ac:dyDescent="0.35">
      <c r="A9" s="40" t="s">
        <v>84</v>
      </c>
      <c r="B9" s="57">
        <v>1</v>
      </c>
      <c r="C9" s="37">
        <v>1.07</v>
      </c>
      <c r="D9" s="37">
        <v>1.1399999999999999</v>
      </c>
      <c r="E9" s="37">
        <v>1.22</v>
      </c>
      <c r="F9" s="37">
        <v>1.1299999999999999</v>
      </c>
      <c r="G9" s="37">
        <v>1.21</v>
      </c>
      <c r="H9" s="37">
        <v>1.29</v>
      </c>
      <c r="I9" s="37">
        <v>1.38</v>
      </c>
      <c r="J9" s="37">
        <v>1.28</v>
      </c>
      <c r="K9" s="37">
        <v>1.37</v>
      </c>
      <c r="L9" s="37">
        <v>1.46</v>
      </c>
      <c r="M9" s="37">
        <v>1.56</v>
      </c>
      <c r="N9" s="37">
        <v>1.67</v>
      </c>
      <c r="O9" s="37">
        <v>1.44</v>
      </c>
      <c r="P9" s="37">
        <v>1.53</v>
      </c>
      <c r="Q9" s="37">
        <v>1.62</v>
      </c>
      <c r="R9" s="37">
        <v>1.72</v>
      </c>
      <c r="S9" s="37">
        <v>1.82</v>
      </c>
    </row>
    <row r="10" spans="1:19" x14ac:dyDescent="0.35">
      <c r="A10" s="40" t="s">
        <v>85</v>
      </c>
      <c r="B10" s="37">
        <v>8477</v>
      </c>
      <c r="C10" s="58">
        <f>B10*C9</f>
        <v>9070.3900000000012</v>
      </c>
      <c r="D10" s="37">
        <f>B10*D9</f>
        <v>9663.7799999999988</v>
      </c>
      <c r="E10" s="37">
        <f>B10*E9</f>
        <v>10341.94</v>
      </c>
      <c r="F10" s="37">
        <f>B10*F9</f>
        <v>9579.0099999999984</v>
      </c>
      <c r="G10" s="37">
        <f>B10*G9</f>
        <v>10257.17</v>
      </c>
      <c r="H10" s="37">
        <f>B10*H9</f>
        <v>10935.33</v>
      </c>
      <c r="I10" s="37">
        <f>B10*I9</f>
        <v>11698.259999999998</v>
      </c>
      <c r="J10" s="37">
        <f>B10*J9</f>
        <v>10850.56</v>
      </c>
      <c r="K10" s="37">
        <f>B10*K9</f>
        <v>11613.490000000002</v>
      </c>
      <c r="L10" s="58">
        <f>B10*L9</f>
        <v>12376.42</v>
      </c>
      <c r="M10" s="58">
        <f>B10*M9</f>
        <v>13224.12</v>
      </c>
      <c r="N10" s="58">
        <f>B10*N9</f>
        <v>14156.59</v>
      </c>
      <c r="O10" s="37">
        <f>B10*O9</f>
        <v>12206.88</v>
      </c>
      <c r="P10" s="37">
        <f>B10*P9</f>
        <v>12969.81</v>
      </c>
      <c r="Q10" s="37">
        <f>B10*Q9</f>
        <v>13732.740000000002</v>
      </c>
      <c r="R10" s="58">
        <f>B10*R9</f>
        <v>14580.44</v>
      </c>
      <c r="S10" s="58">
        <f>B10*S9</f>
        <v>15428.140000000001</v>
      </c>
    </row>
    <row r="11" spans="1:19" x14ac:dyDescent="0.35">
      <c r="A11" s="41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x14ac:dyDescent="0.35">
      <c r="A12" s="40" t="s">
        <v>83</v>
      </c>
      <c r="B12" s="37">
        <v>5</v>
      </c>
      <c r="C12" s="37"/>
      <c r="D12" s="37"/>
      <c r="E12" s="37"/>
      <c r="F12" s="37"/>
      <c r="G12" s="37">
        <v>6</v>
      </c>
      <c r="H12" s="37"/>
      <c r="I12" s="37"/>
      <c r="J12" s="37"/>
      <c r="K12" s="37"/>
      <c r="L12" s="37">
        <v>7</v>
      </c>
      <c r="M12" s="37"/>
      <c r="N12" s="37"/>
      <c r="O12" s="37"/>
      <c r="P12" s="37"/>
      <c r="Q12" s="37"/>
      <c r="R12" s="37"/>
      <c r="S12" s="37"/>
    </row>
    <row r="13" spans="1:19" x14ac:dyDescent="0.35">
      <c r="A13" s="40" t="s">
        <v>84</v>
      </c>
      <c r="B13" s="37">
        <v>1.63</v>
      </c>
      <c r="C13" s="37">
        <v>1.73</v>
      </c>
      <c r="D13" s="37">
        <v>1.83</v>
      </c>
      <c r="E13" s="37">
        <v>1.94</v>
      </c>
      <c r="F13" s="37">
        <v>2.06</v>
      </c>
      <c r="G13" s="37">
        <v>1.84</v>
      </c>
      <c r="H13" s="37">
        <v>1.95</v>
      </c>
      <c r="I13" s="37">
        <v>2.0699999999999998</v>
      </c>
      <c r="J13" s="37">
        <v>2.19</v>
      </c>
      <c r="K13" s="37">
        <v>2.3199999999999998</v>
      </c>
      <c r="L13" s="37">
        <v>2.08</v>
      </c>
      <c r="M13" s="37">
        <v>2.2000000000000002</v>
      </c>
      <c r="N13" s="37">
        <v>2.33</v>
      </c>
      <c r="O13" s="37">
        <v>2.4700000000000002</v>
      </c>
      <c r="P13" s="37">
        <v>2.62</v>
      </c>
      <c r="Q13" s="37"/>
      <c r="R13" s="37"/>
      <c r="S13" s="37"/>
    </row>
    <row r="14" spans="1:19" x14ac:dyDescent="0.35">
      <c r="A14" s="40" t="s">
        <v>85</v>
      </c>
      <c r="B14" s="58">
        <f>B10*B13</f>
        <v>13817.509999999998</v>
      </c>
      <c r="C14" s="58">
        <f>B10*C13</f>
        <v>14665.21</v>
      </c>
      <c r="D14" s="37">
        <f>B10*D13</f>
        <v>15512.91</v>
      </c>
      <c r="E14" s="37">
        <f>B10*E13</f>
        <v>16445.38</v>
      </c>
      <c r="F14" s="37">
        <f>B10*F13</f>
        <v>17462.62</v>
      </c>
      <c r="G14" s="37">
        <f>B10*G13</f>
        <v>15597.68</v>
      </c>
      <c r="H14" s="37">
        <f>B10*H13</f>
        <v>16530.149999999998</v>
      </c>
      <c r="I14" s="37">
        <f>B10*I13</f>
        <v>17547.39</v>
      </c>
      <c r="J14" s="37">
        <f>B10*J13</f>
        <v>18564.63</v>
      </c>
      <c r="K14" s="37">
        <f>B10*K13</f>
        <v>19666.64</v>
      </c>
      <c r="L14" s="58">
        <f>B10*L13</f>
        <v>17632.16</v>
      </c>
      <c r="M14" s="58">
        <f>B10*M13</f>
        <v>18649.400000000001</v>
      </c>
      <c r="N14" s="58">
        <f>B10*N13</f>
        <v>19751.41</v>
      </c>
      <c r="O14" s="37">
        <f>B10*O13</f>
        <v>20938.190000000002</v>
      </c>
      <c r="P14" s="37">
        <f>B10*P13</f>
        <v>22209.74</v>
      </c>
      <c r="Q14" s="37"/>
      <c r="R14" s="37"/>
      <c r="S14" s="37"/>
    </row>
    <row r="15" spans="1:19" x14ac:dyDescent="0.35">
      <c r="A15" s="41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19" x14ac:dyDescent="0.35">
      <c r="A16" s="40" t="s">
        <v>83</v>
      </c>
      <c r="B16" s="37">
        <v>8</v>
      </c>
      <c r="C16" s="37"/>
      <c r="D16" s="37"/>
      <c r="E16" s="37"/>
      <c r="F16" s="37"/>
      <c r="G16" s="37">
        <v>9</v>
      </c>
      <c r="H16" s="37"/>
      <c r="I16" s="37"/>
      <c r="J16" s="37"/>
      <c r="K16" s="37"/>
      <c r="L16" s="37">
        <v>10</v>
      </c>
      <c r="M16" s="37"/>
      <c r="N16" s="37"/>
      <c r="O16" s="37"/>
      <c r="P16" s="37"/>
      <c r="Q16" s="37"/>
      <c r="R16" s="37"/>
      <c r="S16" s="37"/>
    </row>
    <row r="17" spans="1:19" x14ac:dyDescent="0.35">
      <c r="A17" s="40" t="s">
        <v>84</v>
      </c>
      <c r="B17" s="37">
        <v>2.35</v>
      </c>
      <c r="C17" s="37">
        <v>2.4700000000000002</v>
      </c>
      <c r="D17" s="37">
        <v>2.6</v>
      </c>
      <c r="E17" s="37">
        <v>2.73</v>
      </c>
      <c r="F17" s="37">
        <v>2.87</v>
      </c>
      <c r="G17" s="37">
        <v>2.66</v>
      </c>
      <c r="H17" s="37">
        <v>2.8</v>
      </c>
      <c r="I17" s="37">
        <v>2.94</v>
      </c>
      <c r="J17" s="37">
        <v>3.09</v>
      </c>
      <c r="K17" s="37">
        <v>3.25</v>
      </c>
      <c r="L17" s="37">
        <v>2.78</v>
      </c>
      <c r="M17" s="37">
        <v>2.94</v>
      </c>
      <c r="N17" s="37">
        <v>3.11</v>
      </c>
      <c r="O17" s="37">
        <v>3.29</v>
      </c>
      <c r="P17" s="37">
        <v>3.48</v>
      </c>
      <c r="Q17" s="37"/>
      <c r="R17" s="37"/>
      <c r="S17" s="37"/>
    </row>
    <row r="18" spans="1:19" x14ac:dyDescent="0.35">
      <c r="A18" s="40" t="s">
        <v>85</v>
      </c>
      <c r="B18" s="37">
        <f>B10*B17</f>
        <v>19920.95</v>
      </c>
      <c r="C18" s="37">
        <f>B10*C17</f>
        <v>20938.190000000002</v>
      </c>
      <c r="D18" s="37">
        <f>B10*D17</f>
        <v>22040.2</v>
      </c>
      <c r="E18" s="37">
        <f>B10*E17</f>
        <v>23142.21</v>
      </c>
      <c r="F18" s="37">
        <f>B10*F17</f>
        <v>24328.99</v>
      </c>
      <c r="G18" s="37">
        <f>B10*G17</f>
        <v>22548.82</v>
      </c>
      <c r="H18" s="37">
        <f>B10*H17</f>
        <v>23735.599999999999</v>
      </c>
      <c r="I18" s="37">
        <f>B10*I17</f>
        <v>24922.38</v>
      </c>
      <c r="J18" s="37">
        <f>B10*J17</f>
        <v>26193.93</v>
      </c>
      <c r="K18" s="37">
        <f>B10*K17</f>
        <v>27550.25</v>
      </c>
      <c r="L18" s="37">
        <f>B10*L17</f>
        <v>23566.059999999998</v>
      </c>
      <c r="M18" s="37">
        <f>B10*M17</f>
        <v>24922.38</v>
      </c>
      <c r="N18" s="37">
        <f>B10*N17</f>
        <v>26363.469999999998</v>
      </c>
      <c r="O18" s="37">
        <f>B10*O17</f>
        <v>27889.33</v>
      </c>
      <c r="P18" s="37">
        <f>B10*P17</f>
        <v>29499.96</v>
      </c>
      <c r="Q18" s="37"/>
      <c r="R18" s="37"/>
      <c r="S18" s="37"/>
    </row>
    <row r="19" spans="1:19" x14ac:dyDescent="0.35">
      <c r="A19" s="4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</row>
    <row r="20" spans="1:19" x14ac:dyDescent="0.35">
      <c r="A20" s="40" t="s">
        <v>83</v>
      </c>
      <c r="B20" s="37">
        <v>11</v>
      </c>
      <c r="C20" s="37"/>
      <c r="D20" s="37"/>
      <c r="E20" s="37"/>
      <c r="F20" s="37"/>
      <c r="G20" s="37">
        <v>12</v>
      </c>
      <c r="H20" s="37"/>
      <c r="I20" s="37"/>
      <c r="J20" s="37"/>
      <c r="K20" s="37"/>
      <c r="L20" s="37">
        <v>13</v>
      </c>
      <c r="M20" s="37"/>
      <c r="N20" s="37"/>
      <c r="O20" s="37"/>
      <c r="P20" s="37">
        <v>14</v>
      </c>
      <c r="Q20" s="37"/>
      <c r="R20" s="37"/>
      <c r="S20" s="37"/>
    </row>
    <row r="21" spans="1:19" x14ac:dyDescent="0.35">
      <c r="A21" s="40" t="s">
        <v>84</v>
      </c>
      <c r="B21" s="37">
        <v>3.11</v>
      </c>
      <c r="C21" s="37">
        <v>3.29</v>
      </c>
      <c r="D21" s="37">
        <v>3.48</v>
      </c>
      <c r="E21" s="37">
        <v>3.69</v>
      </c>
      <c r="F21" s="37">
        <v>3.9</v>
      </c>
      <c r="G21" s="37">
        <v>3.48</v>
      </c>
      <c r="H21" s="37">
        <v>3.69</v>
      </c>
      <c r="I21" s="37">
        <v>3.9</v>
      </c>
      <c r="J21" s="37">
        <v>4.12</v>
      </c>
      <c r="K21" s="37">
        <v>4.37</v>
      </c>
      <c r="L21" s="37">
        <v>3.9</v>
      </c>
      <c r="M21" s="37">
        <v>4.13</v>
      </c>
      <c r="N21" s="37">
        <v>4.37</v>
      </c>
      <c r="O21" s="37">
        <v>4.63</v>
      </c>
      <c r="P21" s="37">
        <v>4.37</v>
      </c>
      <c r="Q21" s="37">
        <v>4.63</v>
      </c>
      <c r="R21" s="37">
        <v>4.8899999999999997</v>
      </c>
      <c r="S21" s="37">
        <v>5.18</v>
      </c>
    </row>
    <row r="22" spans="1:19" x14ac:dyDescent="0.35">
      <c r="A22" s="40" t="s">
        <v>85</v>
      </c>
      <c r="B22" s="37">
        <f>B10*B21</f>
        <v>26363.469999999998</v>
      </c>
      <c r="C22" s="37">
        <f>B10*C21</f>
        <v>27889.33</v>
      </c>
      <c r="D22" s="37">
        <f>B10*D21</f>
        <v>29499.96</v>
      </c>
      <c r="E22" s="37">
        <f>B10*E21</f>
        <v>31280.13</v>
      </c>
      <c r="F22" s="37">
        <f>B10*F21</f>
        <v>33060.299999999996</v>
      </c>
      <c r="G22" s="37">
        <f>B10*G21</f>
        <v>29499.96</v>
      </c>
      <c r="H22" s="37">
        <f>B10*H21</f>
        <v>31280.13</v>
      </c>
      <c r="I22" s="37">
        <f>B10*I21</f>
        <v>33060.299999999996</v>
      </c>
      <c r="J22" s="37">
        <f>B10*J21</f>
        <v>34925.24</v>
      </c>
      <c r="K22" s="37">
        <f>B10*K21</f>
        <v>37044.49</v>
      </c>
      <c r="L22" s="37">
        <f>B10*L21</f>
        <v>33060.299999999996</v>
      </c>
      <c r="M22" s="37">
        <f>B10*M21</f>
        <v>35010.01</v>
      </c>
      <c r="N22" s="37">
        <f>B10*N21</f>
        <v>37044.49</v>
      </c>
      <c r="O22" s="37">
        <f>B10*O21</f>
        <v>39248.51</v>
      </c>
      <c r="P22" s="37">
        <f>B10*P21</f>
        <v>37044.49</v>
      </c>
      <c r="Q22" s="37">
        <f>B10*Q21</f>
        <v>39248.51</v>
      </c>
      <c r="R22" s="37">
        <f>B10*R21</f>
        <v>41452.53</v>
      </c>
      <c r="S22" s="37">
        <f>B10*S21</f>
        <v>43910.86</v>
      </c>
    </row>
    <row r="23" spans="1:19" x14ac:dyDescent="0.35">
      <c r="A23" s="41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19" x14ac:dyDescent="0.35">
      <c r="A24" s="40" t="s">
        <v>83</v>
      </c>
      <c r="B24" s="37">
        <v>15</v>
      </c>
      <c r="C24" s="37"/>
      <c r="D24" s="37"/>
      <c r="E24" s="37"/>
      <c r="F24" s="37">
        <v>16</v>
      </c>
      <c r="G24" s="37"/>
      <c r="H24" s="37"/>
      <c r="I24" s="37"/>
      <c r="J24" s="37">
        <v>17</v>
      </c>
      <c r="K24" s="37"/>
      <c r="L24" s="37"/>
      <c r="M24" s="37"/>
      <c r="N24" s="37">
        <v>18</v>
      </c>
      <c r="O24" s="37"/>
      <c r="P24" s="37"/>
      <c r="Q24" s="37"/>
      <c r="R24" s="37"/>
      <c r="S24" s="37"/>
    </row>
    <row r="25" spans="1:19" x14ac:dyDescent="0.35">
      <c r="A25" s="40" t="s">
        <v>84</v>
      </c>
      <c r="B25" s="37">
        <v>4.8899999999999997</v>
      </c>
      <c r="C25" s="37">
        <v>5.18</v>
      </c>
      <c r="D25" s="37">
        <v>5.47</v>
      </c>
      <c r="E25" s="37">
        <v>5.8</v>
      </c>
      <c r="F25" s="37">
        <v>5.47</v>
      </c>
      <c r="G25" s="37">
        <v>5.8</v>
      </c>
      <c r="H25" s="37">
        <v>6.13</v>
      </c>
      <c r="I25" s="37">
        <v>6.5</v>
      </c>
      <c r="J25" s="37">
        <v>6.13</v>
      </c>
      <c r="K25" s="37">
        <v>6.5</v>
      </c>
      <c r="L25" s="37">
        <v>6.87</v>
      </c>
      <c r="M25" s="37">
        <v>6.91</v>
      </c>
      <c r="N25" s="37">
        <v>6.87</v>
      </c>
      <c r="O25" s="37">
        <v>6.91</v>
      </c>
      <c r="P25" s="37">
        <v>7.69</v>
      </c>
      <c r="Q25" s="37">
        <v>8.15</v>
      </c>
      <c r="R25" s="37"/>
      <c r="S25" s="37"/>
    </row>
    <row r="26" spans="1:19" x14ac:dyDescent="0.35">
      <c r="A26" s="40" t="s">
        <v>85</v>
      </c>
      <c r="B26" s="37">
        <f>B10*B25</f>
        <v>41452.53</v>
      </c>
      <c r="C26" s="37">
        <f>B10*C25</f>
        <v>43910.86</v>
      </c>
      <c r="D26" s="37">
        <f>B10*D25</f>
        <v>46369.189999999995</v>
      </c>
      <c r="E26" s="37">
        <f>B10*E25</f>
        <v>49166.6</v>
      </c>
      <c r="F26" s="37">
        <f>B10*F25</f>
        <v>46369.189999999995</v>
      </c>
      <c r="G26" s="37">
        <f>B10*G25</f>
        <v>49166.6</v>
      </c>
      <c r="H26" s="37">
        <f>B10*H25</f>
        <v>51964.01</v>
      </c>
      <c r="I26" s="37">
        <f>B10*I25</f>
        <v>55100.5</v>
      </c>
      <c r="J26" s="37">
        <f>B10*J25</f>
        <v>51964.01</v>
      </c>
      <c r="K26" s="37">
        <f>B10*K25</f>
        <v>55100.5</v>
      </c>
      <c r="L26" s="37">
        <f>B10*L25</f>
        <v>58236.99</v>
      </c>
      <c r="M26" s="37">
        <f>M25*B10</f>
        <v>58576.07</v>
      </c>
      <c r="N26" s="37">
        <f>B10*N25</f>
        <v>58236.99</v>
      </c>
      <c r="O26" s="37">
        <f>B10*O25</f>
        <v>58576.07</v>
      </c>
      <c r="P26" s="37">
        <f>B10*P25</f>
        <v>65188.130000000005</v>
      </c>
      <c r="Q26" s="37">
        <f>B10*Q25</f>
        <v>69087.55</v>
      </c>
      <c r="R26" s="37"/>
      <c r="S26" s="37"/>
    </row>
    <row r="27" spans="1:19" x14ac:dyDescent="0.35">
      <c r="A27" s="41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19" x14ac:dyDescent="0.35">
      <c r="A28" s="762" t="s">
        <v>1383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30" spans="1:19" x14ac:dyDescent="0.35">
      <c r="A30" t="s">
        <v>10</v>
      </c>
      <c r="F30" t="s">
        <v>1169</v>
      </c>
    </row>
  </sheetData>
  <mergeCells count="1">
    <mergeCell ref="A7:S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workbookViewId="0">
      <selection activeCell="O84" sqref="A1:O84"/>
    </sheetView>
  </sheetViews>
  <sheetFormatPr defaultRowHeight="14.5" x14ac:dyDescent="0.35"/>
  <cols>
    <col min="1" max="1" width="4.81640625" customWidth="1"/>
    <col min="6" max="6" width="7.1796875" customWidth="1"/>
    <col min="14" max="14" width="9.54296875" bestFit="1" customWidth="1"/>
  </cols>
  <sheetData>
    <row r="1" spans="1:14" x14ac:dyDescent="0.35">
      <c r="A1" s="379"/>
      <c r="B1" s="379"/>
      <c r="C1" s="380"/>
      <c r="D1" s="380"/>
      <c r="E1" s="380"/>
      <c r="F1" s="380"/>
      <c r="G1" s="206"/>
      <c r="H1" s="206"/>
      <c r="I1" s="206"/>
      <c r="J1" s="206"/>
      <c r="K1" s="47" t="s">
        <v>102</v>
      </c>
      <c r="L1" s="48"/>
      <c r="M1" s="48"/>
      <c r="N1" s="380"/>
    </row>
    <row r="2" spans="1:14" x14ac:dyDescent="0.35">
      <c r="A2" s="380"/>
      <c r="B2" s="380"/>
      <c r="C2" s="380"/>
      <c r="D2" s="380"/>
      <c r="E2" s="380"/>
      <c r="F2" s="380"/>
      <c r="G2" s="206"/>
      <c r="H2" s="206"/>
      <c r="I2" s="206"/>
      <c r="J2" s="206"/>
      <c r="K2" s="48" t="s">
        <v>103</v>
      </c>
      <c r="L2" s="48"/>
      <c r="M2" s="48"/>
      <c r="N2" s="380"/>
    </row>
    <row r="3" spans="1:14" x14ac:dyDescent="0.35">
      <c r="A3" s="48"/>
      <c r="B3" s="48"/>
      <c r="C3" s="48"/>
      <c r="D3" s="48"/>
      <c r="E3" s="48"/>
      <c r="F3" s="48"/>
      <c r="G3" s="381"/>
      <c r="H3" s="381"/>
      <c r="I3" s="381"/>
      <c r="J3" s="381"/>
      <c r="K3" s="48" t="s">
        <v>104</v>
      </c>
      <c r="L3" s="48"/>
      <c r="M3" s="48"/>
      <c r="N3" s="380"/>
    </row>
    <row r="4" spans="1:14" x14ac:dyDescent="0.35">
      <c r="A4" s="48"/>
      <c r="B4" s="48"/>
      <c r="C4" s="48"/>
      <c r="D4" s="48"/>
      <c r="E4" s="48"/>
      <c r="F4" s="48"/>
      <c r="G4" s="381"/>
      <c r="H4" s="381"/>
      <c r="I4" s="381"/>
      <c r="J4" s="381"/>
      <c r="K4" s="48" t="s">
        <v>1170</v>
      </c>
      <c r="L4" s="48"/>
      <c r="M4" s="48"/>
      <c r="N4" s="380"/>
    </row>
    <row r="5" spans="1:14" x14ac:dyDescent="0.35">
      <c r="A5" s="968" t="s">
        <v>101</v>
      </c>
      <c r="B5" s="968"/>
      <c r="C5" s="968"/>
      <c r="D5" s="968"/>
      <c r="E5" s="968"/>
      <c r="F5" s="968"/>
      <c r="G5" s="968"/>
      <c r="H5" s="968"/>
      <c r="I5" s="968"/>
      <c r="J5" s="968"/>
      <c r="K5" s="968"/>
      <c r="L5" s="968"/>
      <c r="M5" s="968"/>
      <c r="N5" s="968"/>
    </row>
    <row r="6" spans="1:14" x14ac:dyDescent="0.35">
      <c r="A6" s="382"/>
      <c r="B6" s="382" t="s">
        <v>1382</v>
      </c>
      <c r="C6" s="382"/>
      <c r="D6" s="382"/>
      <c r="E6" s="382"/>
      <c r="F6" s="383"/>
      <c r="G6" s="383"/>
      <c r="H6" s="383"/>
      <c r="I6" s="383"/>
      <c r="J6" s="383"/>
      <c r="K6" s="383"/>
      <c r="L6" s="383"/>
      <c r="M6" s="383"/>
      <c r="N6" s="381"/>
    </row>
    <row r="7" spans="1:14" ht="15" thickBot="1" x14ac:dyDescent="0.4">
      <c r="A7" s="384"/>
      <c r="B7" s="384"/>
      <c r="C7" s="385" t="s">
        <v>6</v>
      </c>
      <c r="D7" s="385"/>
      <c r="E7" s="385"/>
      <c r="F7" s="385"/>
      <c r="G7" s="385"/>
      <c r="H7" s="385"/>
      <c r="I7" s="385"/>
      <c r="J7" s="385"/>
      <c r="K7" s="385"/>
      <c r="L7" s="384"/>
      <c r="M7" s="384"/>
      <c r="N7" s="384"/>
    </row>
    <row r="8" spans="1:14" ht="15" thickBot="1" x14ac:dyDescent="0.4">
      <c r="A8" s="969" t="s">
        <v>0</v>
      </c>
      <c r="B8" s="959" t="s">
        <v>1</v>
      </c>
      <c r="C8" s="960"/>
      <c r="D8" s="960"/>
      <c r="E8" s="971"/>
      <c r="F8" s="973" t="s">
        <v>86</v>
      </c>
      <c r="G8" s="957" t="s">
        <v>87</v>
      </c>
      <c r="H8" s="973" t="s">
        <v>88</v>
      </c>
      <c r="I8" s="975" t="s">
        <v>89</v>
      </c>
      <c r="J8" s="976"/>
      <c r="K8" s="976"/>
      <c r="L8" s="976"/>
      <c r="M8" s="977"/>
      <c r="N8" s="978" t="s">
        <v>90</v>
      </c>
    </row>
    <row r="9" spans="1:14" ht="19.5" customHeight="1" thickBot="1" x14ac:dyDescent="0.4">
      <c r="A9" s="970"/>
      <c r="B9" s="962"/>
      <c r="C9" s="963"/>
      <c r="D9" s="963"/>
      <c r="E9" s="972"/>
      <c r="F9" s="974"/>
      <c r="G9" s="958"/>
      <c r="H9" s="974"/>
      <c r="I9" s="386" t="s">
        <v>91</v>
      </c>
      <c r="J9" s="387" t="s">
        <v>92</v>
      </c>
      <c r="K9" s="386" t="s">
        <v>93</v>
      </c>
      <c r="L9" s="387" t="s">
        <v>94</v>
      </c>
      <c r="M9" s="386" t="s">
        <v>95</v>
      </c>
      <c r="N9" s="979"/>
    </row>
    <row r="10" spans="1:14" x14ac:dyDescent="0.35">
      <c r="A10" s="388" t="s">
        <v>30</v>
      </c>
      <c r="B10" s="778" t="s">
        <v>42</v>
      </c>
      <c r="C10" s="779"/>
      <c r="D10" s="779"/>
      <c r="E10" s="779"/>
      <c r="F10" s="389">
        <v>1</v>
      </c>
      <c r="G10" s="390">
        <v>16</v>
      </c>
      <c r="H10" s="391">
        <v>46369</v>
      </c>
      <c r="I10" s="391">
        <f>H10</f>
        <v>46369</v>
      </c>
      <c r="J10" s="392">
        <f>I10*0.7</f>
        <v>32458.3</v>
      </c>
      <c r="K10" s="392">
        <f t="shared" ref="K10:K23" si="0">(I10+J10)*0.5</f>
        <v>39413.65</v>
      </c>
      <c r="L10" s="392">
        <f t="shared" ref="L10:L23" si="1">K10</f>
        <v>39413.65</v>
      </c>
      <c r="M10" s="392">
        <f t="shared" ref="M10:M23" si="2">I10+J10+K10+L10</f>
        <v>157654.6</v>
      </c>
      <c r="N10" s="393">
        <f>M10*12</f>
        <v>1891855.2000000002</v>
      </c>
    </row>
    <row r="11" spans="1:14" x14ac:dyDescent="0.35">
      <c r="A11" s="394">
        <v>2</v>
      </c>
      <c r="B11" s="778" t="s">
        <v>8</v>
      </c>
      <c r="C11" s="779"/>
      <c r="D11" s="779"/>
      <c r="E11" s="779"/>
      <c r="F11" s="389">
        <v>1</v>
      </c>
      <c r="G11" s="390">
        <v>15</v>
      </c>
      <c r="H11" s="391">
        <v>41453</v>
      </c>
      <c r="I11" s="391">
        <f>H11</f>
        <v>41453</v>
      </c>
      <c r="J11" s="392">
        <f>I11*0.7</f>
        <v>29017.1</v>
      </c>
      <c r="K11" s="392">
        <f t="shared" si="0"/>
        <v>35235.050000000003</v>
      </c>
      <c r="L11" s="392">
        <f t="shared" si="1"/>
        <v>35235.050000000003</v>
      </c>
      <c r="M11" s="392">
        <f t="shared" si="2"/>
        <v>140940.20000000001</v>
      </c>
      <c r="N11" s="393">
        <f>M11*12</f>
        <v>1691282.4000000001</v>
      </c>
    </row>
    <row r="12" spans="1:14" x14ac:dyDescent="0.35">
      <c r="A12" s="395">
        <v>3</v>
      </c>
      <c r="B12" s="778" t="s">
        <v>9</v>
      </c>
      <c r="C12" s="779"/>
      <c r="D12" s="779"/>
      <c r="E12" s="779"/>
      <c r="F12" s="396">
        <v>1</v>
      </c>
      <c r="G12" s="390">
        <v>15</v>
      </c>
      <c r="H12" s="391">
        <v>41453</v>
      </c>
      <c r="I12" s="391">
        <f>H12</f>
        <v>41453</v>
      </c>
      <c r="J12" s="392">
        <f t="shared" ref="J12:J20" si="3">I12*0.7</f>
        <v>29017.1</v>
      </c>
      <c r="K12" s="392">
        <f t="shared" si="0"/>
        <v>35235.050000000003</v>
      </c>
      <c r="L12" s="392">
        <f t="shared" si="1"/>
        <v>35235.050000000003</v>
      </c>
      <c r="M12" s="392">
        <f t="shared" si="2"/>
        <v>140940.20000000001</v>
      </c>
      <c r="N12" s="393">
        <f t="shared" ref="N12:N20" si="4">M12*12</f>
        <v>1691282.4000000001</v>
      </c>
    </row>
    <row r="13" spans="1:14" x14ac:dyDescent="0.35">
      <c r="A13" s="395">
        <v>4</v>
      </c>
      <c r="B13" s="778" t="s">
        <v>10</v>
      </c>
      <c r="C13" s="779"/>
      <c r="D13" s="779"/>
      <c r="E13" s="779"/>
      <c r="F13" s="396">
        <v>1</v>
      </c>
      <c r="G13" s="397">
        <v>9</v>
      </c>
      <c r="H13" s="42">
        <v>22549</v>
      </c>
      <c r="I13" s="391">
        <f>H13</f>
        <v>22549</v>
      </c>
      <c r="J13" s="392">
        <f t="shared" si="3"/>
        <v>15784.3</v>
      </c>
      <c r="K13" s="392">
        <f t="shared" si="0"/>
        <v>19166.650000000001</v>
      </c>
      <c r="L13" s="392">
        <f t="shared" si="1"/>
        <v>19166.650000000001</v>
      </c>
      <c r="M13" s="392">
        <f t="shared" si="2"/>
        <v>76666.600000000006</v>
      </c>
      <c r="N13" s="393">
        <f t="shared" si="4"/>
        <v>919999.20000000007</v>
      </c>
    </row>
    <row r="14" spans="1:14" x14ac:dyDescent="0.35">
      <c r="A14" s="395">
        <v>5</v>
      </c>
      <c r="B14" s="778" t="s">
        <v>11</v>
      </c>
      <c r="C14" s="779"/>
      <c r="D14" s="779"/>
      <c r="E14" s="779"/>
      <c r="F14" s="396">
        <v>1</v>
      </c>
      <c r="G14" s="397">
        <v>9</v>
      </c>
      <c r="H14" s="42">
        <v>22549</v>
      </c>
      <c r="I14" s="391">
        <f t="shared" ref="I14:I20" si="5">H14</f>
        <v>22549</v>
      </c>
      <c r="J14" s="392">
        <f t="shared" si="3"/>
        <v>15784.3</v>
      </c>
      <c r="K14" s="392">
        <f t="shared" si="0"/>
        <v>19166.650000000001</v>
      </c>
      <c r="L14" s="392">
        <f t="shared" si="1"/>
        <v>19166.650000000001</v>
      </c>
      <c r="M14" s="392">
        <f t="shared" si="2"/>
        <v>76666.600000000006</v>
      </c>
      <c r="N14" s="393">
        <f t="shared" si="4"/>
        <v>919999.20000000007</v>
      </c>
    </row>
    <row r="15" spans="1:14" x14ac:dyDescent="0.35">
      <c r="A15" s="395">
        <v>6</v>
      </c>
      <c r="B15" s="980" t="s">
        <v>105</v>
      </c>
      <c r="C15" s="981"/>
      <c r="D15" s="981"/>
      <c r="E15" s="982"/>
      <c r="F15" s="396">
        <v>1</v>
      </c>
      <c r="G15" s="397">
        <v>9</v>
      </c>
      <c r="H15" s="42">
        <v>22549</v>
      </c>
      <c r="I15" s="391">
        <f t="shared" si="5"/>
        <v>22549</v>
      </c>
      <c r="J15" s="392">
        <f t="shared" si="3"/>
        <v>15784.3</v>
      </c>
      <c r="K15" s="392">
        <f t="shared" si="0"/>
        <v>19166.650000000001</v>
      </c>
      <c r="L15" s="392">
        <f t="shared" si="1"/>
        <v>19166.650000000001</v>
      </c>
      <c r="M15" s="392">
        <f t="shared" si="2"/>
        <v>76666.600000000006</v>
      </c>
      <c r="N15" s="393">
        <f t="shared" si="4"/>
        <v>919999.20000000007</v>
      </c>
    </row>
    <row r="16" spans="1:14" x14ac:dyDescent="0.35">
      <c r="A16" s="395">
        <v>7</v>
      </c>
      <c r="B16" s="778" t="s">
        <v>12</v>
      </c>
      <c r="C16" s="779"/>
      <c r="D16" s="779"/>
      <c r="E16" s="779"/>
      <c r="F16" s="396">
        <v>1</v>
      </c>
      <c r="G16" s="397">
        <v>9</v>
      </c>
      <c r="H16" s="42">
        <v>22549</v>
      </c>
      <c r="I16" s="391">
        <f t="shared" si="5"/>
        <v>22549</v>
      </c>
      <c r="J16" s="392">
        <f t="shared" si="3"/>
        <v>15784.3</v>
      </c>
      <c r="K16" s="392">
        <f t="shared" si="0"/>
        <v>19166.650000000001</v>
      </c>
      <c r="L16" s="392">
        <f t="shared" si="1"/>
        <v>19166.650000000001</v>
      </c>
      <c r="M16" s="392">
        <f t="shared" si="2"/>
        <v>76666.600000000006</v>
      </c>
      <c r="N16" s="393">
        <f t="shared" si="4"/>
        <v>919999.20000000007</v>
      </c>
    </row>
    <row r="17" spans="1:14" x14ac:dyDescent="0.35">
      <c r="A17" s="395">
        <v>8</v>
      </c>
      <c r="B17" s="778" t="s">
        <v>13</v>
      </c>
      <c r="C17" s="779"/>
      <c r="D17" s="779"/>
      <c r="E17" s="779"/>
      <c r="F17" s="396">
        <v>1</v>
      </c>
      <c r="G17" s="397">
        <v>7</v>
      </c>
      <c r="H17" s="42">
        <v>17632</v>
      </c>
      <c r="I17" s="391">
        <f t="shared" si="5"/>
        <v>17632</v>
      </c>
      <c r="J17" s="392">
        <f t="shared" si="3"/>
        <v>12342.4</v>
      </c>
      <c r="K17" s="392">
        <f t="shared" si="0"/>
        <v>14987.2</v>
      </c>
      <c r="L17" s="392">
        <f t="shared" si="1"/>
        <v>14987.2</v>
      </c>
      <c r="M17" s="392">
        <f t="shared" si="2"/>
        <v>59948.800000000003</v>
      </c>
      <c r="N17" s="393">
        <f t="shared" si="4"/>
        <v>719385.60000000009</v>
      </c>
    </row>
    <row r="18" spans="1:14" ht="23.25" customHeight="1" x14ac:dyDescent="0.35">
      <c r="A18" s="395">
        <v>9</v>
      </c>
      <c r="B18" s="983" t="s">
        <v>107</v>
      </c>
      <c r="C18" s="984"/>
      <c r="D18" s="984"/>
      <c r="E18" s="985"/>
      <c r="F18" s="723">
        <v>2</v>
      </c>
      <c r="G18" s="397">
        <v>13</v>
      </c>
      <c r="H18" s="42">
        <v>33060</v>
      </c>
      <c r="I18" s="392">
        <f>H18*F18</f>
        <v>66120</v>
      </c>
      <c r="J18" s="392">
        <f t="shared" si="3"/>
        <v>46284</v>
      </c>
      <c r="K18" s="392">
        <f t="shared" si="0"/>
        <v>56202</v>
      </c>
      <c r="L18" s="392">
        <f t="shared" si="1"/>
        <v>56202</v>
      </c>
      <c r="M18" s="392">
        <f t="shared" si="2"/>
        <v>224808</v>
      </c>
      <c r="N18" s="393">
        <f t="shared" si="4"/>
        <v>2697696</v>
      </c>
    </row>
    <row r="19" spans="1:14" ht="22.5" customHeight="1" x14ac:dyDescent="0.35">
      <c r="A19" s="395">
        <v>10</v>
      </c>
      <c r="B19" s="983" t="s">
        <v>108</v>
      </c>
      <c r="C19" s="984"/>
      <c r="D19" s="984"/>
      <c r="E19" s="985"/>
      <c r="F19" s="396">
        <v>1</v>
      </c>
      <c r="G19" s="397">
        <v>7</v>
      </c>
      <c r="H19" s="42">
        <v>17632</v>
      </c>
      <c r="I19" s="391">
        <f t="shared" si="5"/>
        <v>17632</v>
      </c>
      <c r="J19" s="392">
        <f t="shared" si="3"/>
        <v>12342.4</v>
      </c>
      <c r="K19" s="392">
        <f t="shared" si="0"/>
        <v>14987.2</v>
      </c>
      <c r="L19" s="392">
        <f t="shared" si="1"/>
        <v>14987.2</v>
      </c>
      <c r="M19" s="392">
        <f t="shared" si="2"/>
        <v>59948.800000000003</v>
      </c>
      <c r="N19" s="393">
        <f t="shared" si="4"/>
        <v>719385.60000000009</v>
      </c>
    </row>
    <row r="20" spans="1:14" ht="16.5" customHeight="1" x14ac:dyDescent="0.35">
      <c r="A20" s="395">
        <v>11</v>
      </c>
      <c r="B20" s="983" t="s">
        <v>14</v>
      </c>
      <c r="C20" s="984"/>
      <c r="D20" s="984"/>
      <c r="E20" s="985"/>
      <c r="F20" s="396">
        <v>1</v>
      </c>
      <c r="G20" s="397">
        <v>7</v>
      </c>
      <c r="H20" s="42">
        <v>17632</v>
      </c>
      <c r="I20" s="391">
        <f t="shared" si="5"/>
        <v>17632</v>
      </c>
      <c r="J20" s="392">
        <f t="shared" si="3"/>
        <v>12342.4</v>
      </c>
      <c r="K20" s="392">
        <f t="shared" si="0"/>
        <v>14987.2</v>
      </c>
      <c r="L20" s="392">
        <f t="shared" si="1"/>
        <v>14987.2</v>
      </c>
      <c r="M20" s="392">
        <f t="shared" si="2"/>
        <v>59948.800000000003</v>
      </c>
      <c r="N20" s="393">
        <f t="shared" si="4"/>
        <v>719385.60000000009</v>
      </c>
    </row>
    <row r="21" spans="1:14" ht="15.75" customHeight="1" x14ac:dyDescent="0.35">
      <c r="A21" s="395">
        <v>12</v>
      </c>
      <c r="B21" s="346" t="s">
        <v>106</v>
      </c>
      <c r="C21" s="347"/>
      <c r="D21" s="347"/>
      <c r="E21" s="347"/>
      <c r="F21" s="396">
        <v>1</v>
      </c>
      <c r="G21" s="397">
        <v>9</v>
      </c>
      <c r="H21" s="42">
        <v>22549</v>
      </c>
      <c r="I21" s="391">
        <f>H21</f>
        <v>22549</v>
      </c>
      <c r="J21" s="392">
        <f>I21*0.7</f>
        <v>15784.3</v>
      </c>
      <c r="K21" s="392">
        <f t="shared" si="0"/>
        <v>19166.650000000001</v>
      </c>
      <c r="L21" s="392">
        <f t="shared" si="1"/>
        <v>19166.650000000001</v>
      </c>
      <c r="M21" s="392">
        <f t="shared" si="2"/>
        <v>76666.600000000006</v>
      </c>
      <c r="N21" s="393">
        <f>M21*12</f>
        <v>919999.20000000007</v>
      </c>
    </row>
    <row r="22" spans="1:14" x14ac:dyDescent="0.35">
      <c r="A22" s="395">
        <v>13</v>
      </c>
      <c r="B22" s="346" t="s">
        <v>111</v>
      </c>
      <c r="C22" s="347"/>
      <c r="D22" s="347"/>
      <c r="E22" s="347"/>
      <c r="F22" s="396">
        <v>0.5</v>
      </c>
      <c r="G22" s="397">
        <v>6</v>
      </c>
      <c r="H22" s="42">
        <v>15598</v>
      </c>
      <c r="I22" s="392">
        <f>H22*F22</f>
        <v>7799</v>
      </c>
      <c r="J22" s="392">
        <f>I22*0.7</f>
        <v>5459.2999999999993</v>
      </c>
      <c r="K22" s="392">
        <f t="shared" si="0"/>
        <v>6629.15</v>
      </c>
      <c r="L22" s="392">
        <f t="shared" si="1"/>
        <v>6629.15</v>
      </c>
      <c r="M22" s="392">
        <f t="shared" si="2"/>
        <v>26516.6</v>
      </c>
      <c r="N22" s="393">
        <f>M22*12</f>
        <v>318199.19999999995</v>
      </c>
    </row>
    <row r="23" spans="1:14" x14ac:dyDescent="0.35">
      <c r="A23" s="395">
        <v>14</v>
      </c>
      <c r="B23" s="335" t="s">
        <v>112</v>
      </c>
      <c r="C23" s="336"/>
      <c r="D23" s="336"/>
      <c r="E23" s="336"/>
      <c r="F23" s="396">
        <v>0.5</v>
      </c>
      <c r="G23" s="397">
        <v>3</v>
      </c>
      <c r="H23" s="42">
        <v>10851</v>
      </c>
      <c r="I23" s="392">
        <f>H23*F23</f>
        <v>5425.5</v>
      </c>
      <c r="J23" s="392">
        <f>I23*0.7</f>
        <v>3797.85</v>
      </c>
      <c r="K23" s="392">
        <f t="shared" si="0"/>
        <v>4611.6750000000002</v>
      </c>
      <c r="L23" s="392">
        <f t="shared" si="1"/>
        <v>4611.6750000000002</v>
      </c>
      <c r="M23" s="392">
        <f t="shared" si="2"/>
        <v>18446.7</v>
      </c>
      <c r="N23" s="393">
        <f>M23*12</f>
        <v>221360.40000000002</v>
      </c>
    </row>
    <row r="24" spans="1:14" ht="15" thickBot="1" x14ac:dyDescent="0.4">
      <c r="A24" s="345">
        <v>15</v>
      </c>
      <c r="B24" s="343" t="s">
        <v>127</v>
      </c>
      <c r="C24" s="344"/>
      <c r="D24" s="344"/>
      <c r="E24" s="344"/>
      <c r="F24" s="35">
        <v>1</v>
      </c>
      <c r="G24" s="397">
        <v>3</v>
      </c>
      <c r="H24" s="42">
        <v>10851</v>
      </c>
      <c r="I24" s="391">
        <f>H24</f>
        <v>10851</v>
      </c>
      <c r="J24" s="392">
        <f>I24*0.7</f>
        <v>7595.7</v>
      </c>
      <c r="K24" s="392">
        <f t="shared" ref="K24" si="6">(I24+J24)*0.5</f>
        <v>9223.35</v>
      </c>
      <c r="L24" s="392">
        <f t="shared" ref="L24" si="7">K24</f>
        <v>9223.35</v>
      </c>
      <c r="M24" s="392">
        <f t="shared" ref="M24" si="8">I24+J24+K24+L24</f>
        <v>36893.4</v>
      </c>
      <c r="N24" s="393">
        <f>M24*12</f>
        <v>442720.80000000005</v>
      </c>
    </row>
    <row r="25" spans="1:14" ht="15" thickBot="1" x14ac:dyDescent="0.4">
      <c r="A25" s="954" t="s">
        <v>95</v>
      </c>
      <c r="B25" s="955"/>
      <c r="C25" s="955"/>
      <c r="D25" s="955"/>
      <c r="E25" s="956"/>
      <c r="F25" s="398">
        <f>SUM(F10:F24)</f>
        <v>15</v>
      </c>
      <c r="G25" s="399"/>
      <c r="H25" s="400"/>
      <c r="I25" s="400"/>
      <c r="J25" s="401">
        <f>SUM(J10:J24)</f>
        <v>269578.04999999993</v>
      </c>
      <c r="K25" s="401">
        <f>SUM(K10:K24)</f>
        <v>327344.77500000002</v>
      </c>
      <c r="L25" s="401">
        <f>SUM(L10:L24)</f>
        <v>327344.77500000002</v>
      </c>
      <c r="M25" s="401">
        <f>SUM(M10:M24)</f>
        <v>1309379.1000000001</v>
      </c>
      <c r="N25" s="401">
        <f>SUM(N10:N24)</f>
        <v>15712549.199999999</v>
      </c>
    </row>
    <row r="26" spans="1:14" ht="15" thickBot="1" x14ac:dyDescent="0.4">
      <c r="A26" s="384"/>
      <c r="B26" s="384"/>
      <c r="C26" s="402" t="s">
        <v>16</v>
      </c>
      <c r="D26" s="402"/>
      <c r="E26" s="402"/>
      <c r="F26" s="402"/>
      <c r="G26" s="402"/>
      <c r="H26" s="402"/>
      <c r="I26" s="402"/>
      <c r="J26" s="402"/>
      <c r="K26" s="402"/>
      <c r="L26" s="384"/>
      <c r="M26" s="384"/>
      <c r="N26" s="384"/>
    </row>
    <row r="27" spans="1:14" ht="15" thickBot="1" x14ac:dyDescent="0.4">
      <c r="A27" s="957" t="s">
        <v>0</v>
      </c>
      <c r="B27" s="959" t="s">
        <v>1</v>
      </c>
      <c r="C27" s="960"/>
      <c r="D27" s="960"/>
      <c r="E27" s="971"/>
      <c r="F27" s="973" t="s">
        <v>86</v>
      </c>
      <c r="G27" s="957" t="s">
        <v>87</v>
      </c>
      <c r="H27" s="973" t="s">
        <v>88</v>
      </c>
      <c r="I27" s="975" t="s">
        <v>89</v>
      </c>
      <c r="J27" s="976"/>
      <c r="K27" s="976"/>
      <c r="L27" s="976"/>
      <c r="M27" s="987"/>
      <c r="N27" s="978" t="s">
        <v>90</v>
      </c>
    </row>
    <row r="28" spans="1:14" ht="20.25" customHeight="1" thickBot="1" x14ac:dyDescent="0.4">
      <c r="A28" s="958"/>
      <c r="B28" s="962"/>
      <c r="C28" s="963"/>
      <c r="D28" s="963"/>
      <c r="E28" s="972"/>
      <c r="F28" s="974"/>
      <c r="G28" s="958"/>
      <c r="H28" s="974"/>
      <c r="I28" s="403" t="s">
        <v>91</v>
      </c>
      <c r="J28" s="403" t="s">
        <v>92</v>
      </c>
      <c r="K28" s="387" t="s">
        <v>93</v>
      </c>
      <c r="L28" s="403" t="s">
        <v>94</v>
      </c>
      <c r="M28" s="387" t="s">
        <v>95</v>
      </c>
      <c r="N28" s="979"/>
    </row>
    <row r="29" spans="1:14" ht="21.75" customHeight="1" x14ac:dyDescent="0.35">
      <c r="A29" s="404">
        <v>1</v>
      </c>
      <c r="B29" s="986" t="s">
        <v>109</v>
      </c>
      <c r="C29" s="986"/>
      <c r="D29" s="986"/>
      <c r="E29" s="986"/>
      <c r="F29" s="390">
        <v>1</v>
      </c>
      <c r="G29" s="405">
        <v>8</v>
      </c>
      <c r="H29" s="406">
        <v>19921</v>
      </c>
      <c r="I29" s="391">
        <f>H29</f>
        <v>19921</v>
      </c>
      <c r="J29" s="392">
        <f>I29*0.7</f>
        <v>13944.699999999999</v>
      </c>
      <c r="K29" s="392">
        <f t="shared" ref="K29" si="9">(I29+J29)*0.5</f>
        <v>16932.849999999999</v>
      </c>
      <c r="L29" s="392">
        <f t="shared" ref="L29" si="10">K29</f>
        <v>16932.849999999999</v>
      </c>
      <c r="M29" s="392">
        <f t="shared" ref="M29" si="11">I29+J29+K29+L29</f>
        <v>67731.399999999994</v>
      </c>
      <c r="N29" s="393">
        <f>M29*12</f>
        <v>812776.79999999993</v>
      </c>
    </row>
    <row r="30" spans="1:14" x14ac:dyDescent="0.35">
      <c r="A30" s="407">
        <v>2</v>
      </c>
      <c r="B30" s="784" t="s">
        <v>110</v>
      </c>
      <c r="C30" s="784"/>
      <c r="D30" s="784"/>
      <c r="E30" s="784"/>
      <c r="F30" s="397">
        <v>1</v>
      </c>
      <c r="G30" s="353">
        <v>4</v>
      </c>
      <c r="H30" s="407">
        <v>12207</v>
      </c>
      <c r="I30" s="391">
        <f>H30</f>
        <v>12207</v>
      </c>
      <c r="J30" s="392">
        <f>I30*0.7</f>
        <v>8544.9</v>
      </c>
      <c r="K30" s="392">
        <f t="shared" ref="K30" si="12">(I30+J30)*0.5</f>
        <v>10375.950000000001</v>
      </c>
      <c r="L30" s="392">
        <f t="shared" ref="L30" si="13">K30</f>
        <v>10375.950000000001</v>
      </c>
      <c r="M30" s="392">
        <f t="shared" ref="M30" si="14">I30+J30+K30+L30</f>
        <v>41503.800000000003</v>
      </c>
      <c r="N30" s="393">
        <f>M30*12</f>
        <v>498045.60000000003</v>
      </c>
    </row>
    <row r="31" spans="1:14" ht="15" customHeight="1" x14ac:dyDescent="0.35">
      <c r="A31" s="408">
        <v>3</v>
      </c>
      <c r="B31" s="784" t="s">
        <v>129</v>
      </c>
      <c r="C31" s="784"/>
      <c r="D31" s="784"/>
      <c r="E31" s="784"/>
      <c r="F31" s="397">
        <v>1</v>
      </c>
      <c r="G31" s="397">
        <v>7</v>
      </c>
      <c r="H31" s="42">
        <v>17632</v>
      </c>
      <c r="I31" s="42">
        <f t="shared" ref="I31" si="15">H31</f>
        <v>17632</v>
      </c>
      <c r="J31" s="409">
        <f t="shared" ref="J31" si="16">I31*0.7</f>
        <v>12342.4</v>
      </c>
      <c r="K31" s="409">
        <f t="shared" ref="K31:K32" si="17">(I31+J31)*0.5</f>
        <v>14987.2</v>
      </c>
      <c r="L31" s="409">
        <f t="shared" ref="L31:L32" si="18">K31</f>
        <v>14987.2</v>
      </c>
      <c r="M31" s="409">
        <f t="shared" ref="M31:M32" si="19">I31+J31+K31+L31</f>
        <v>59948.800000000003</v>
      </c>
      <c r="N31" s="409">
        <f t="shared" ref="N31" si="20">M31*12</f>
        <v>719385.60000000009</v>
      </c>
    </row>
    <row r="32" spans="1:14" x14ac:dyDescent="0.35">
      <c r="A32" s="410">
        <v>4</v>
      </c>
      <c r="B32" s="798" t="s">
        <v>96</v>
      </c>
      <c r="C32" s="798"/>
      <c r="D32" s="798"/>
      <c r="E32" s="798"/>
      <c r="F32" s="396">
        <v>1</v>
      </c>
      <c r="G32" s="397">
        <v>7</v>
      </c>
      <c r="H32" s="42">
        <v>17632</v>
      </c>
      <c r="I32" s="391">
        <f>H32</f>
        <v>17632</v>
      </c>
      <c r="J32" s="392">
        <f>I32*0.7</f>
        <v>12342.4</v>
      </c>
      <c r="K32" s="392">
        <f t="shared" si="17"/>
        <v>14987.2</v>
      </c>
      <c r="L32" s="392">
        <f t="shared" si="18"/>
        <v>14987.2</v>
      </c>
      <c r="M32" s="392">
        <f t="shared" si="19"/>
        <v>59948.800000000003</v>
      </c>
      <c r="N32" s="393">
        <f>M32*12</f>
        <v>719385.60000000009</v>
      </c>
    </row>
    <row r="33" spans="1:14" x14ac:dyDescent="0.35">
      <c r="A33" s="411">
        <v>5</v>
      </c>
      <c r="B33" s="950" t="s">
        <v>113</v>
      </c>
      <c r="C33" s="950"/>
      <c r="D33" s="950"/>
      <c r="E33" s="950"/>
      <c r="F33" s="412">
        <v>1</v>
      </c>
      <c r="G33" s="390">
        <v>8</v>
      </c>
      <c r="H33" s="406">
        <v>19921</v>
      </c>
      <c r="I33" s="391">
        <f>H33*F33</f>
        <v>19921</v>
      </c>
      <c r="J33" s="392">
        <f>I33*0.7</f>
        <v>13944.699999999999</v>
      </c>
      <c r="K33" s="392">
        <f>(I33+J33)*0.5</f>
        <v>16932.849999999999</v>
      </c>
      <c r="L33" s="392">
        <f>K33</f>
        <v>16932.849999999999</v>
      </c>
      <c r="M33" s="392">
        <f>I33+J33+K33+L33</f>
        <v>67731.399999999994</v>
      </c>
      <c r="N33" s="393">
        <f>M33*12</f>
        <v>812776.79999999993</v>
      </c>
    </row>
    <row r="34" spans="1:14" x14ac:dyDescent="0.35">
      <c r="A34" s="411">
        <v>6</v>
      </c>
      <c r="B34" s="950" t="s">
        <v>114</v>
      </c>
      <c r="C34" s="950"/>
      <c r="D34" s="950"/>
      <c r="E34" s="950"/>
      <c r="F34" s="412">
        <v>1</v>
      </c>
      <c r="G34" s="390">
        <v>8</v>
      </c>
      <c r="H34" s="406">
        <v>19921</v>
      </c>
      <c r="I34" s="391">
        <f>H34*F34</f>
        <v>19921</v>
      </c>
      <c r="J34" s="392">
        <f>I34*0.7</f>
        <v>13944.699999999999</v>
      </c>
      <c r="K34" s="392">
        <f>(I34+J34)*0.5</f>
        <v>16932.849999999999</v>
      </c>
      <c r="L34" s="392">
        <f>K34</f>
        <v>16932.849999999999</v>
      </c>
      <c r="M34" s="392">
        <f>I34+J34+K34+L34</f>
        <v>67731.399999999994</v>
      </c>
      <c r="N34" s="393">
        <f>M34*12</f>
        <v>812776.79999999993</v>
      </c>
    </row>
    <row r="35" spans="1:14" x14ac:dyDescent="0.35">
      <c r="A35" s="408">
        <v>7</v>
      </c>
      <c r="B35" s="787" t="s">
        <v>17</v>
      </c>
      <c r="C35" s="787"/>
      <c r="D35" s="787"/>
      <c r="E35" s="787"/>
      <c r="F35" s="413">
        <v>1</v>
      </c>
      <c r="G35" s="397">
        <v>9</v>
      </c>
      <c r="H35" s="42">
        <v>22549</v>
      </c>
      <c r="I35" s="391">
        <f>H35*F35</f>
        <v>22549</v>
      </c>
      <c r="J35" s="392">
        <f>I35*0.7</f>
        <v>15784.3</v>
      </c>
      <c r="K35" s="392">
        <f>(I35+J35)*0.5</f>
        <v>19166.650000000001</v>
      </c>
      <c r="L35" s="392">
        <f>K35</f>
        <v>19166.650000000001</v>
      </c>
      <c r="M35" s="392">
        <f>I35+J35+K35+L35</f>
        <v>76666.600000000006</v>
      </c>
      <c r="N35" s="393">
        <f>M35*12</f>
        <v>919999.20000000007</v>
      </c>
    </row>
    <row r="36" spans="1:14" ht="15" thickBot="1" x14ac:dyDescent="0.4">
      <c r="A36" s="414">
        <v>8</v>
      </c>
      <c r="B36" s="953" t="s">
        <v>97</v>
      </c>
      <c r="C36" s="953"/>
      <c r="D36" s="953"/>
      <c r="E36" s="953"/>
      <c r="F36" s="43">
        <v>8</v>
      </c>
      <c r="G36" s="415">
        <v>8</v>
      </c>
      <c r="H36" s="406">
        <v>19921</v>
      </c>
      <c r="I36" s="416">
        <f>H36*F36</f>
        <v>159368</v>
      </c>
      <c r="J36" s="417">
        <f>I36*0.75</f>
        <v>119526</v>
      </c>
      <c r="K36" s="417">
        <f>(I36+J36)*0.5</f>
        <v>139447</v>
      </c>
      <c r="L36" s="417">
        <f>K36</f>
        <v>139447</v>
      </c>
      <c r="M36" s="417">
        <f>I36+J36+K36+L36</f>
        <v>557788</v>
      </c>
      <c r="N36" s="418">
        <f>M36*12</f>
        <v>6693456</v>
      </c>
    </row>
    <row r="37" spans="1:14" ht="15" thickBot="1" x14ac:dyDescent="0.4">
      <c r="A37" s="954" t="s">
        <v>95</v>
      </c>
      <c r="B37" s="955"/>
      <c r="C37" s="955"/>
      <c r="D37" s="955"/>
      <c r="E37" s="956"/>
      <c r="F37" s="398">
        <v>15</v>
      </c>
      <c r="G37" s="399"/>
      <c r="H37" s="400"/>
      <c r="I37" s="400"/>
      <c r="J37" s="401">
        <f>SUM(J29:J36)</f>
        <v>210374.1</v>
      </c>
      <c r="K37" s="401">
        <f>SUM(K29:K36)</f>
        <v>249762.55</v>
      </c>
      <c r="L37" s="401">
        <f>SUM(L29:L36)</f>
        <v>249762.55</v>
      </c>
      <c r="M37" s="401">
        <f>SUM(M29:M36)</f>
        <v>999050.2</v>
      </c>
      <c r="N37" s="419">
        <f>SUM(N29:N36)</f>
        <v>11988602.4</v>
      </c>
    </row>
    <row r="38" spans="1:14" ht="15" thickBot="1" x14ac:dyDescent="0.4">
      <c r="A38" s="420"/>
      <c r="B38" s="384"/>
      <c r="C38" s="402" t="s">
        <v>18</v>
      </c>
      <c r="D38" s="402"/>
      <c r="E38" s="402"/>
      <c r="F38" s="402"/>
      <c r="G38" s="402"/>
      <c r="H38" s="402"/>
      <c r="I38" s="402"/>
      <c r="J38" s="402"/>
      <c r="K38" s="402"/>
      <c r="L38" s="384"/>
      <c r="M38" s="384"/>
      <c r="N38" s="384"/>
    </row>
    <row r="39" spans="1:14" ht="15" thickBot="1" x14ac:dyDescent="0.4">
      <c r="A39" s="957" t="s">
        <v>0</v>
      </c>
      <c r="B39" s="959" t="s">
        <v>1</v>
      </c>
      <c r="C39" s="960"/>
      <c r="D39" s="960"/>
      <c r="E39" s="961"/>
      <c r="F39" s="957" t="s">
        <v>86</v>
      </c>
      <c r="G39" s="957" t="s">
        <v>87</v>
      </c>
      <c r="H39" s="988" t="s">
        <v>88</v>
      </c>
      <c r="I39" s="990" t="s">
        <v>89</v>
      </c>
      <c r="J39" s="991"/>
      <c r="K39" s="991"/>
      <c r="L39" s="991"/>
      <c r="M39" s="992"/>
      <c r="N39" s="978" t="s">
        <v>90</v>
      </c>
    </row>
    <row r="40" spans="1:14" ht="16.5" customHeight="1" thickBot="1" x14ac:dyDescent="0.4">
      <c r="A40" s="958"/>
      <c r="B40" s="962"/>
      <c r="C40" s="963"/>
      <c r="D40" s="963"/>
      <c r="E40" s="964"/>
      <c r="F40" s="958"/>
      <c r="G40" s="958"/>
      <c r="H40" s="989"/>
      <c r="I40" s="403" t="s">
        <v>91</v>
      </c>
      <c r="J40" s="403" t="s">
        <v>92</v>
      </c>
      <c r="K40" s="403" t="s">
        <v>93</v>
      </c>
      <c r="L40" s="403" t="s">
        <v>94</v>
      </c>
      <c r="M40" s="421" t="s">
        <v>95</v>
      </c>
      <c r="N40" s="979"/>
    </row>
    <row r="41" spans="1:14" ht="21.75" customHeight="1" x14ac:dyDescent="0.35">
      <c r="A41" s="404">
        <v>1</v>
      </c>
      <c r="B41" s="951" t="s">
        <v>115</v>
      </c>
      <c r="C41" s="951"/>
      <c r="D41" s="951"/>
      <c r="E41" s="951"/>
      <c r="F41" s="405">
        <v>2</v>
      </c>
      <c r="G41" s="405">
        <v>2</v>
      </c>
      <c r="H41" s="406">
        <v>9579</v>
      </c>
      <c r="I41" s="406">
        <f t="shared" ref="I41:I48" si="21">H41*F41</f>
        <v>19158</v>
      </c>
      <c r="J41" s="422">
        <f t="shared" ref="J41:J43" si="22">I41*0.7</f>
        <v>13410.599999999999</v>
      </c>
      <c r="K41" s="422">
        <f t="shared" ref="K41:K43" si="23">(I41+J41)*0.5</f>
        <v>16284.3</v>
      </c>
      <c r="L41" s="422">
        <f t="shared" ref="L41:L43" si="24">K41</f>
        <v>16284.3</v>
      </c>
      <c r="M41" s="422">
        <f t="shared" ref="M41:M43" si="25">I41+J41+K41+L41</f>
        <v>65137.2</v>
      </c>
      <c r="N41" s="423">
        <f t="shared" ref="N41:N43" si="26">M41*12</f>
        <v>781646.39999999991</v>
      </c>
    </row>
    <row r="42" spans="1:14" ht="23.25" customHeight="1" x14ac:dyDescent="0.35">
      <c r="A42" s="407">
        <v>2</v>
      </c>
      <c r="B42" s="952" t="s">
        <v>116</v>
      </c>
      <c r="C42" s="952"/>
      <c r="D42" s="952"/>
      <c r="E42" s="952"/>
      <c r="F42" s="424">
        <v>4</v>
      </c>
      <c r="G42" s="424">
        <v>3</v>
      </c>
      <c r="H42" s="425">
        <v>10851</v>
      </c>
      <c r="I42" s="425">
        <f t="shared" si="21"/>
        <v>43404</v>
      </c>
      <c r="J42" s="426">
        <f t="shared" si="22"/>
        <v>30382.799999999999</v>
      </c>
      <c r="K42" s="426">
        <f t="shared" si="23"/>
        <v>36893.4</v>
      </c>
      <c r="L42" s="426">
        <f t="shared" si="24"/>
        <v>36893.4</v>
      </c>
      <c r="M42" s="426">
        <f t="shared" si="25"/>
        <v>147573.6</v>
      </c>
      <c r="N42" s="427">
        <f t="shared" si="26"/>
        <v>1770883.2000000002</v>
      </c>
    </row>
    <row r="43" spans="1:14" ht="24" customHeight="1" x14ac:dyDescent="0.35">
      <c r="A43" s="407">
        <v>3</v>
      </c>
      <c r="B43" s="952" t="s">
        <v>117</v>
      </c>
      <c r="C43" s="952"/>
      <c r="D43" s="952"/>
      <c r="E43" s="952"/>
      <c r="F43" s="424">
        <v>6</v>
      </c>
      <c r="G43" s="424">
        <v>4</v>
      </c>
      <c r="H43" s="407">
        <v>12207</v>
      </c>
      <c r="I43" s="425">
        <f t="shared" si="21"/>
        <v>73242</v>
      </c>
      <c r="J43" s="426">
        <f t="shared" si="22"/>
        <v>51269.399999999994</v>
      </c>
      <c r="K43" s="426">
        <f t="shared" si="23"/>
        <v>62255.7</v>
      </c>
      <c r="L43" s="426">
        <f t="shared" si="24"/>
        <v>62255.7</v>
      </c>
      <c r="M43" s="426">
        <f t="shared" si="25"/>
        <v>249022.8</v>
      </c>
      <c r="N43" s="427">
        <f t="shared" si="26"/>
        <v>2988273.5999999996</v>
      </c>
    </row>
    <row r="44" spans="1:14" ht="24" customHeight="1" x14ac:dyDescent="0.35">
      <c r="A44" s="404">
        <v>4</v>
      </c>
      <c r="B44" s="952" t="s">
        <v>118</v>
      </c>
      <c r="C44" s="952"/>
      <c r="D44" s="952"/>
      <c r="E44" s="952"/>
      <c r="F44" s="405">
        <v>1</v>
      </c>
      <c r="G44" s="390">
        <v>3</v>
      </c>
      <c r="H44" s="425">
        <v>10851</v>
      </c>
      <c r="I44" s="406">
        <f t="shared" si="21"/>
        <v>10851</v>
      </c>
      <c r="J44" s="422">
        <f>I44*0.7</f>
        <v>7595.7</v>
      </c>
      <c r="K44" s="422">
        <f t="shared" ref="K44:K51" si="27">(I44+J44)*0.5</f>
        <v>9223.35</v>
      </c>
      <c r="L44" s="422">
        <f>K44</f>
        <v>9223.35</v>
      </c>
      <c r="M44" s="422">
        <f t="shared" ref="M44:M47" si="28">I44+J44+K44+L44</f>
        <v>36893.4</v>
      </c>
      <c r="N44" s="423">
        <f>M44*12</f>
        <v>442720.80000000005</v>
      </c>
    </row>
    <row r="45" spans="1:14" ht="21.75" customHeight="1" x14ac:dyDescent="0.35">
      <c r="A45" s="428">
        <v>5</v>
      </c>
      <c r="B45" s="952" t="s">
        <v>119</v>
      </c>
      <c r="C45" s="952"/>
      <c r="D45" s="952"/>
      <c r="E45" s="952"/>
      <c r="F45" s="35">
        <v>2</v>
      </c>
      <c r="G45" s="397">
        <v>4</v>
      </c>
      <c r="H45" s="407">
        <v>12207</v>
      </c>
      <c r="I45" s="425">
        <f t="shared" si="21"/>
        <v>24414</v>
      </c>
      <c r="J45" s="426">
        <f t="shared" ref="J45:J46" si="29">I45*0.7</f>
        <v>17089.8</v>
      </c>
      <c r="K45" s="426">
        <f t="shared" si="27"/>
        <v>20751.900000000001</v>
      </c>
      <c r="L45" s="426">
        <f t="shared" ref="L45:L51" si="30">K45</f>
        <v>20751.900000000001</v>
      </c>
      <c r="M45" s="426">
        <f t="shared" si="28"/>
        <v>83007.600000000006</v>
      </c>
      <c r="N45" s="427">
        <f t="shared" ref="N45:N47" si="31">M45*12</f>
        <v>996091.20000000007</v>
      </c>
    </row>
    <row r="46" spans="1:14" ht="23.25" customHeight="1" x14ac:dyDescent="0.35">
      <c r="A46" s="428">
        <v>6</v>
      </c>
      <c r="B46" s="952" t="s">
        <v>120</v>
      </c>
      <c r="C46" s="952"/>
      <c r="D46" s="952"/>
      <c r="E46" s="952"/>
      <c r="F46" s="35">
        <v>6</v>
      </c>
      <c r="G46" s="397">
        <v>3</v>
      </c>
      <c r="H46" s="425">
        <v>10851</v>
      </c>
      <c r="I46" s="425">
        <f t="shared" si="21"/>
        <v>65106</v>
      </c>
      <c r="J46" s="426">
        <f t="shared" si="29"/>
        <v>45574.2</v>
      </c>
      <c r="K46" s="426">
        <f t="shared" si="27"/>
        <v>55340.1</v>
      </c>
      <c r="L46" s="426">
        <f t="shared" si="30"/>
        <v>55340.1</v>
      </c>
      <c r="M46" s="426">
        <f t="shared" si="28"/>
        <v>221360.4</v>
      </c>
      <c r="N46" s="427">
        <f t="shared" si="31"/>
        <v>2656324.7999999998</v>
      </c>
    </row>
    <row r="47" spans="1:14" ht="24.75" customHeight="1" x14ac:dyDescent="0.35">
      <c r="A47" s="428">
        <v>7</v>
      </c>
      <c r="B47" s="952" t="s">
        <v>121</v>
      </c>
      <c r="C47" s="952"/>
      <c r="D47" s="952"/>
      <c r="E47" s="952"/>
      <c r="F47" s="35">
        <v>6</v>
      </c>
      <c r="G47" s="397">
        <v>4</v>
      </c>
      <c r="H47" s="407">
        <v>12207</v>
      </c>
      <c r="I47" s="425">
        <f t="shared" si="21"/>
        <v>73242</v>
      </c>
      <c r="J47" s="426">
        <f>I47*0.7</f>
        <v>51269.399999999994</v>
      </c>
      <c r="K47" s="426">
        <f t="shared" si="27"/>
        <v>62255.7</v>
      </c>
      <c r="L47" s="426">
        <f t="shared" si="30"/>
        <v>62255.7</v>
      </c>
      <c r="M47" s="426">
        <f t="shared" si="28"/>
        <v>249022.8</v>
      </c>
      <c r="N47" s="427">
        <f t="shared" si="31"/>
        <v>2988273.5999999996</v>
      </c>
    </row>
    <row r="48" spans="1:14" ht="24.75" customHeight="1" x14ac:dyDescent="0.35">
      <c r="A48" s="428">
        <v>8</v>
      </c>
      <c r="B48" s="952" t="s">
        <v>126</v>
      </c>
      <c r="C48" s="952"/>
      <c r="D48" s="952"/>
      <c r="E48" s="952"/>
      <c r="F48" s="35">
        <v>2</v>
      </c>
      <c r="G48" s="413">
        <v>5</v>
      </c>
      <c r="H48" s="429">
        <v>13818</v>
      </c>
      <c r="I48" s="425">
        <f t="shared" si="21"/>
        <v>27636</v>
      </c>
      <c r="J48" s="426">
        <f t="shared" ref="J48" si="32">I48*0.7</f>
        <v>19345.199999999997</v>
      </c>
      <c r="K48" s="426">
        <f t="shared" ref="K48" si="33">(I48+J48)*0.5</f>
        <v>23490.6</v>
      </c>
      <c r="L48" s="426">
        <f t="shared" ref="L48" si="34">K48</f>
        <v>23490.6</v>
      </c>
      <c r="M48" s="426">
        <f t="shared" ref="M48" si="35">I48+J48+K48+L48</f>
        <v>93962.4</v>
      </c>
      <c r="N48" s="427">
        <f t="shared" ref="N48" si="36">M48*12</f>
        <v>1127548.7999999998</v>
      </c>
    </row>
    <row r="49" spans="1:14" ht="16.5" customHeight="1" x14ac:dyDescent="0.35">
      <c r="A49" s="430">
        <v>9</v>
      </c>
      <c r="B49" s="335" t="s">
        <v>1058</v>
      </c>
      <c r="C49" s="340"/>
      <c r="D49" s="431"/>
      <c r="E49" s="432"/>
      <c r="F49" s="433">
        <v>1</v>
      </c>
      <c r="G49" s="434">
        <v>2</v>
      </c>
      <c r="H49" s="429">
        <v>9579</v>
      </c>
      <c r="I49" s="429">
        <v>8372</v>
      </c>
      <c r="J49" s="426">
        <f t="shared" ref="J49:J50" si="37">I49*0.7</f>
        <v>5860.4</v>
      </c>
      <c r="K49" s="426">
        <f t="shared" ref="K49:K50" si="38">(I49+J49)*0.5</f>
        <v>7116.2</v>
      </c>
      <c r="L49" s="426">
        <f t="shared" ref="L49:L50" si="39">K49</f>
        <v>7116.2</v>
      </c>
      <c r="M49" s="426">
        <f t="shared" ref="M49:M50" si="40">I49+J49+K49+L49</f>
        <v>28464.799999999999</v>
      </c>
      <c r="N49" s="427">
        <f t="shared" ref="N49:N50" si="41">M49*12</f>
        <v>341577.6</v>
      </c>
    </row>
    <row r="50" spans="1:14" ht="15" customHeight="1" x14ac:dyDescent="0.35">
      <c r="A50" s="430">
        <v>10</v>
      </c>
      <c r="B50" s="339" t="s">
        <v>1059</v>
      </c>
      <c r="C50" s="340"/>
      <c r="D50" s="431"/>
      <c r="E50" s="432"/>
      <c r="F50" s="433">
        <v>3</v>
      </c>
      <c r="G50" s="434">
        <v>2</v>
      </c>
      <c r="H50" s="429">
        <v>9579</v>
      </c>
      <c r="I50" s="429">
        <v>7928</v>
      </c>
      <c r="J50" s="426">
        <f t="shared" si="37"/>
        <v>5549.5999999999995</v>
      </c>
      <c r="K50" s="426">
        <f t="shared" si="38"/>
        <v>6738.7999999999993</v>
      </c>
      <c r="L50" s="426">
        <f t="shared" si="39"/>
        <v>6738.7999999999993</v>
      </c>
      <c r="M50" s="426">
        <f t="shared" si="40"/>
        <v>26955.199999999997</v>
      </c>
      <c r="N50" s="427">
        <f t="shared" si="41"/>
        <v>323462.39999999997</v>
      </c>
    </row>
    <row r="51" spans="1:14" ht="15" thickBot="1" x14ac:dyDescent="0.4">
      <c r="A51" s="435">
        <v>11</v>
      </c>
      <c r="B51" s="436" t="s">
        <v>23</v>
      </c>
      <c r="C51" s="437"/>
      <c r="D51" s="437"/>
      <c r="E51" s="438"/>
      <c r="F51" s="433">
        <v>2</v>
      </c>
      <c r="G51" s="433">
        <v>4</v>
      </c>
      <c r="H51" s="407">
        <v>12207</v>
      </c>
      <c r="I51" s="435">
        <f>F51*H51</f>
        <v>24414</v>
      </c>
      <c r="J51" s="439">
        <f>I51*0.6</f>
        <v>14648.4</v>
      </c>
      <c r="K51" s="439">
        <f t="shared" si="27"/>
        <v>19531.2</v>
      </c>
      <c r="L51" s="439">
        <f t="shared" si="30"/>
        <v>19531.2</v>
      </c>
      <c r="M51" s="439">
        <f>I51+J51+K51+L51</f>
        <v>78124.800000000003</v>
      </c>
      <c r="N51" s="440">
        <f>M51*12</f>
        <v>937497.60000000009</v>
      </c>
    </row>
    <row r="52" spans="1:14" ht="15" thickBot="1" x14ac:dyDescent="0.4">
      <c r="A52" s="954"/>
      <c r="B52" s="955"/>
      <c r="C52" s="955"/>
      <c r="D52" s="955"/>
      <c r="E52" s="965"/>
      <c r="F52" s="441">
        <f>SUM(F41:F51)</f>
        <v>35</v>
      </c>
      <c r="G52" s="442"/>
      <c r="H52" s="443"/>
      <c r="I52" s="443"/>
      <c r="J52" s="444">
        <f>SUM(J41:J51)</f>
        <v>261995.49999999997</v>
      </c>
      <c r="K52" s="444">
        <f>SUM(K41:K51)</f>
        <v>319881.25</v>
      </c>
      <c r="L52" s="444">
        <f>SUM(L41:L51)</f>
        <v>319881.25</v>
      </c>
      <c r="M52" s="444">
        <f>SUM(M41:M51)</f>
        <v>1279525</v>
      </c>
      <c r="N52" s="445">
        <f>SUM(N41:N51)</f>
        <v>15354299.999999998</v>
      </c>
    </row>
    <row r="53" spans="1:14" ht="15" thickBot="1" x14ac:dyDescent="0.4">
      <c r="A53" s="384"/>
      <c r="B53" s="384"/>
      <c r="C53" s="402" t="s">
        <v>24</v>
      </c>
      <c r="D53" s="402"/>
      <c r="E53" s="402"/>
      <c r="F53" s="402"/>
      <c r="G53" s="402"/>
      <c r="H53" s="402"/>
      <c r="I53" s="402"/>
      <c r="J53" s="402"/>
      <c r="K53" s="402"/>
      <c r="L53" s="384"/>
      <c r="M53" s="384"/>
      <c r="N53" s="384"/>
    </row>
    <row r="54" spans="1:14" ht="15" thickBot="1" x14ac:dyDescent="0.4">
      <c r="A54" s="957" t="s">
        <v>0</v>
      </c>
      <c r="B54" s="966" t="s">
        <v>1</v>
      </c>
      <c r="C54" s="960"/>
      <c r="D54" s="960"/>
      <c r="E54" s="961"/>
      <c r="F54" s="957" t="s">
        <v>86</v>
      </c>
      <c r="G54" s="973" t="s">
        <v>87</v>
      </c>
      <c r="H54" s="957" t="s">
        <v>88</v>
      </c>
      <c r="I54" s="993" t="s">
        <v>89</v>
      </c>
      <c r="J54" s="991"/>
      <c r="K54" s="991"/>
      <c r="L54" s="991"/>
      <c r="M54" s="992"/>
      <c r="N54" s="978" t="s">
        <v>90</v>
      </c>
    </row>
    <row r="55" spans="1:14" ht="19.5" customHeight="1" thickBot="1" x14ac:dyDescent="0.4">
      <c r="A55" s="958"/>
      <c r="B55" s="967"/>
      <c r="C55" s="963"/>
      <c r="D55" s="963"/>
      <c r="E55" s="964"/>
      <c r="F55" s="958"/>
      <c r="G55" s="974"/>
      <c r="H55" s="958"/>
      <c r="I55" s="446" t="s">
        <v>91</v>
      </c>
      <c r="J55" s="403" t="s">
        <v>92</v>
      </c>
      <c r="K55" s="403" t="s">
        <v>93</v>
      </c>
      <c r="L55" s="403" t="s">
        <v>94</v>
      </c>
      <c r="M55" s="421" t="s">
        <v>95</v>
      </c>
      <c r="N55" s="979"/>
    </row>
    <row r="56" spans="1:14" x14ac:dyDescent="0.35">
      <c r="A56" s="447">
        <v>1</v>
      </c>
      <c r="B56" s="857" t="s">
        <v>128</v>
      </c>
      <c r="C56" s="858"/>
      <c r="D56" s="858"/>
      <c r="E56" s="858"/>
      <c r="F56" s="448">
        <v>1</v>
      </c>
      <c r="G56" s="338">
        <v>3</v>
      </c>
      <c r="H56" s="425">
        <v>10851</v>
      </c>
      <c r="I56" s="391">
        <f>H56*F56</f>
        <v>10851</v>
      </c>
      <c r="J56" s="449">
        <f t="shared" ref="J56:J70" si="42">I56*0.7</f>
        <v>7595.7</v>
      </c>
      <c r="K56" s="392">
        <f>(I56+J56)*0.5</f>
        <v>9223.35</v>
      </c>
      <c r="L56" s="392">
        <f>K56</f>
        <v>9223.35</v>
      </c>
      <c r="M56" s="392">
        <f>I56+J56+K56+L56</f>
        <v>36893.4</v>
      </c>
      <c r="N56" s="393">
        <f>M56*12</f>
        <v>442720.80000000005</v>
      </c>
    </row>
    <row r="57" spans="1:14" x14ac:dyDescent="0.35">
      <c r="A57" s="428">
        <v>2</v>
      </c>
      <c r="B57" s="838" t="s">
        <v>25</v>
      </c>
      <c r="C57" s="839"/>
      <c r="D57" s="839"/>
      <c r="E57" s="839"/>
      <c r="F57" s="35">
        <v>1</v>
      </c>
      <c r="G57" s="334">
        <v>3</v>
      </c>
      <c r="H57" s="425">
        <v>10851</v>
      </c>
      <c r="I57" s="391">
        <f>H57*F57</f>
        <v>10851</v>
      </c>
      <c r="J57" s="409">
        <f t="shared" si="42"/>
        <v>7595.7</v>
      </c>
      <c r="K57" s="409">
        <f t="shared" ref="K57:K71" si="43">(I57+J57)*0.5</f>
        <v>9223.35</v>
      </c>
      <c r="L57" s="409">
        <f t="shared" ref="L57:L71" si="44">K57</f>
        <v>9223.35</v>
      </c>
      <c r="M57" s="409">
        <f t="shared" ref="M57:M71" si="45">I57+J57+K57+L57</f>
        <v>36893.4</v>
      </c>
      <c r="N57" s="450">
        <f t="shared" ref="N57:N71" si="46">M57*12</f>
        <v>442720.80000000005</v>
      </c>
    </row>
    <row r="58" spans="1:14" x14ac:dyDescent="0.35">
      <c r="A58" s="428">
        <v>3</v>
      </c>
      <c r="B58" s="838" t="s">
        <v>1377</v>
      </c>
      <c r="C58" s="839"/>
      <c r="D58" s="839"/>
      <c r="E58" s="839"/>
      <c r="F58" s="35">
        <v>1</v>
      </c>
      <c r="G58" s="397">
        <v>5</v>
      </c>
      <c r="H58" s="429">
        <v>13818</v>
      </c>
      <c r="I58" s="391">
        <f>H58*F58</f>
        <v>13818</v>
      </c>
      <c r="J58" s="409">
        <f t="shared" si="42"/>
        <v>9672.5999999999985</v>
      </c>
      <c r="K58" s="409">
        <f t="shared" si="43"/>
        <v>11745.3</v>
      </c>
      <c r="L58" s="409">
        <f t="shared" si="44"/>
        <v>11745.3</v>
      </c>
      <c r="M58" s="409">
        <f t="shared" si="45"/>
        <v>46981.2</v>
      </c>
      <c r="N58" s="450">
        <f t="shared" si="46"/>
        <v>563774.39999999991</v>
      </c>
    </row>
    <row r="59" spans="1:14" x14ac:dyDescent="0.35">
      <c r="A59" s="428">
        <v>4</v>
      </c>
      <c r="B59" s="838" t="s">
        <v>1378</v>
      </c>
      <c r="C59" s="839"/>
      <c r="D59" s="839"/>
      <c r="E59" s="839"/>
      <c r="F59" s="35">
        <v>1</v>
      </c>
      <c r="G59" s="397">
        <v>5</v>
      </c>
      <c r="H59" s="429">
        <v>13818</v>
      </c>
      <c r="I59" s="391">
        <f t="shared" ref="I59:I69" si="47">F59*H59</f>
        <v>13818</v>
      </c>
      <c r="J59" s="409">
        <f t="shared" si="42"/>
        <v>9672.5999999999985</v>
      </c>
      <c r="K59" s="409">
        <f t="shared" si="43"/>
        <v>11745.3</v>
      </c>
      <c r="L59" s="409">
        <f t="shared" si="44"/>
        <v>11745.3</v>
      </c>
      <c r="M59" s="409">
        <f t="shared" si="45"/>
        <v>46981.2</v>
      </c>
      <c r="N59" s="450">
        <f t="shared" si="46"/>
        <v>563774.39999999991</v>
      </c>
    </row>
    <row r="60" spans="1:14" x14ac:dyDescent="0.35">
      <c r="A60" s="428">
        <v>5</v>
      </c>
      <c r="B60" s="838" t="s">
        <v>26</v>
      </c>
      <c r="C60" s="839"/>
      <c r="D60" s="839"/>
      <c r="E60" s="839"/>
      <c r="F60" s="35">
        <v>1</v>
      </c>
      <c r="G60" s="397">
        <v>4</v>
      </c>
      <c r="H60" s="407">
        <v>12207</v>
      </c>
      <c r="I60" s="391">
        <f t="shared" si="47"/>
        <v>12207</v>
      </c>
      <c r="J60" s="451">
        <f t="shared" si="42"/>
        <v>8544.9</v>
      </c>
      <c r="K60" s="451">
        <f t="shared" si="43"/>
        <v>10375.950000000001</v>
      </c>
      <c r="L60" s="451">
        <f t="shared" si="44"/>
        <v>10375.950000000001</v>
      </c>
      <c r="M60" s="451">
        <f t="shared" si="45"/>
        <v>41503.800000000003</v>
      </c>
      <c r="N60" s="452">
        <f t="shared" si="46"/>
        <v>498045.60000000003</v>
      </c>
    </row>
    <row r="61" spans="1:14" x14ac:dyDescent="0.35">
      <c r="A61" s="428">
        <v>6</v>
      </c>
      <c r="B61" s="838" t="s">
        <v>1054</v>
      </c>
      <c r="C61" s="839"/>
      <c r="D61" s="839"/>
      <c r="E61" s="839"/>
      <c r="F61" s="35">
        <v>1</v>
      </c>
      <c r="G61" s="413">
        <v>4</v>
      </c>
      <c r="H61" s="407">
        <v>12207</v>
      </c>
      <c r="I61" s="391">
        <f t="shared" ref="I61:I65" si="48">F61*H61</f>
        <v>12207</v>
      </c>
      <c r="J61" s="451">
        <f t="shared" ref="J61:J65" si="49">I61*0.7</f>
        <v>8544.9</v>
      </c>
      <c r="K61" s="451">
        <f t="shared" ref="K61:K65" si="50">(I61+J61)*0.5</f>
        <v>10375.950000000001</v>
      </c>
      <c r="L61" s="451">
        <f t="shared" ref="L61:L65" si="51">K61</f>
        <v>10375.950000000001</v>
      </c>
      <c r="M61" s="451">
        <f t="shared" ref="M61:M65" si="52">I61+J61+K61+L61</f>
        <v>41503.800000000003</v>
      </c>
      <c r="N61" s="452">
        <f t="shared" ref="N61:N65" si="53">M61*12</f>
        <v>498045.60000000003</v>
      </c>
    </row>
    <row r="62" spans="1:14" x14ac:dyDescent="0.35">
      <c r="A62" s="428">
        <v>7</v>
      </c>
      <c r="B62" s="838" t="s">
        <v>1057</v>
      </c>
      <c r="C62" s="839"/>
      <c r="D62" s="839"/>
      <c r="E62" s="839"/>
      <c r="F62" s="35">
        <v>1</v>
      </c>
      <c r="G62" s="413">
        <v>4</v>
      </c>
      <c r="H62" s="407">
        <v>12207</v>
      </c>
      <c r="I62" s="391">
        <f t="shared" si="48"/>
        <v>12207</v>
      </c>
      <c r="J62" s="451">
        <f t="shared" si="49"/>
        <v>8544.9</v>
      </c>
      <c r="K62" s="451">
        <f t="shared" si="50"/>
        <v>10375.950000000001</v>
      </c>
      <c r="L62" s="451">
        <f t="shared" si="51"/>
        <v>10375.950000000001</v>
      </c>
      <c r="M62" s="451">
        <f t="shared" si="52"/>
        <v>41503.800000000003</v>
      </c>
      <c r="N62" s="452">
        <f t="shared" si="53"/>
        <v>498045.60000000003</v>
      </c>
    </row>
    <row r="63" spans="1:14" x14ac:dyDescent="0.35">
      <c r="A63" s="428">
        <v>8</v>
      </c>
      <c r="B63" s="838" t="s">
        <v>1384</v>
      </c>
      <c r="C63" s="839"/>
      <c r="D63" s="839"/>
      <c r="E63" s="839"/>
      <c r="F63" s="35">
        <v>1</v>
      </c>
      <c r="G63" s="413">
        <v>5</v>
      </c>
      <c r="H63" s="429">
        <v>13818</v>
      </c>
      <c r="I63" s="391">
        <f t="shared" si="48"/>
        <v>13818</v>
      </c>
      <c r="J63" s="451">
        <f t="shared" si="49"/>
        <v>9672.5999999999985</v>
      </c>
      <c r="K63" s="451">
        <f t="shared" si="50"/>
        <v>11745.3</v>
      </c>
      <c r="L63" s="451">
        <f t="shared" si="51"/>
        <v>11745.3</v>
      </c>
      <c r="M63" s="451">
        <f t="shared" si="52"/>
        <v>46981.2</v>
      </c>
      <c r="N63" s="452">
        <f t="shared" si="53"/>
        <v>563774.39999999991</v>
      </c>
    </row>
    <row r="64" spans="1:14" x14ac:dyDescent="0.35">
      <c r="A64" s="428">
        <v>9</v>
      </c>
      <c r="B64" s="335" t="s">
        <v>1056</v>
      </c>
      <c r="C64" s="336"/>
      <c r="D64" s="336"/>
      <c r="E64" s="336"/>
      <c r="F64" s="35">
        <v>1</v>
      </c>
      <c r="G64" s="413">
        <v>5</v>
      </c>
      <c r="H64" s="429">
        <v>13818</v>
      </c>
      <c r="I64" s="391">
        <f t="shared" si="48"/>
        <v>13818</v>
      </c>
      <c r="J64" s="451">
        <f t="shared" si="49"/>
        <v>9672.5999999999985</v>
      </c>
      <c r="K64" s="451">
        <f t="shared" si="50"/>
        <v>11745.3</v>
      </c>
      <c r="L64" s="451">
        <f t="shared" si="51"/>
        <v>11745.3</v>
      </c>
      <c r="M64" s="451">
        <f t="shared" si="52"/>
        <v>46981.2</v>
      </c>
      <c r="N64" s="452">
        <f t="shared" si="53"/>
        <v>563774.39999999991</v>
      </c>
    </row>
    <row r="65" spans="1:14" x14ac:dyDescent="0.35">
      <c r="A65" s="428">
        <v>10</v>
      </c>
      <c r="B65" s="335" t="s">
        <v>1055</v>
      </c>
      <c r="C65" s="336"/>
      <c r="D65" s="336"/>
      <c r="E65" s="336"/>
      <c r="F65" s="35">
        <v>1</v>
      </c>
      <c r="G65" s="413">
        <v>4</v>
      </c>
      <c r="H65" s="407">
        <v>12207</v>
      </c>
      <c r="I65" s="391">
        <f t="shared" si="48"/>
        <v>12207</v>
      </c>
      <c r="J65" s="451">
        <f t="shared" si="49"/>
        <v>8544.9</v>
      </c>
      <c r="K65" s="451">
        <f t="shared" si="50"/>
        <v>10375.950000000001</v>
      </c>
      <c r="L65" s="451">
        <f t="shared" si="51"/>
        <v>10375.950000000001</v>
      </c>
      <c r="M65" s="451">
        <f t="shared" si="52"/>
        <v>41503.800000000003</v>
      </c>
      <c r="N65" s="452">
        <f t="shared" si="53"/>
        <v>498045.60000000003</v>
      </c>
    </row>
    <row r="66" spans="1:14" x14ac:dyDescent="0.35">
      <c r="A66" s="428">
        <v>11</v>
      </c>
      <c r="B66" s="838" t="s">
        <v>98</v>
      </c>
      <c r="C66" s="839"/>
      <c r="D66" s="839"/>
      <c r="E66" s="839"/>
      <c r="F66" s="35">
        <v>1</v>
      </c>
      <c r="G66" s="334">
        <v>4</v>
      </c>
      <c r="H66" s="407">
        <v>12207</v>
      </c>
      <c r="I66" s="391">
        <f t="shared" si="47"/>
        <v>12207</v>
      </c>
      <c r="J66" s="409">
        <f t="shared" si="42"/>
        <v>8544.9</v>
      </c>
      <c r="K66" s="409">
        <f t="shared" si="43"/>
        <v>10375.950000000001</v>
      </c>
      <c r="L66" s="409">
        <f t="shared" si="44"/>
        <v>10375.950000000001</v>
      </c>
      <c r="M66" s="409">
        <f t="shared" si="45"/>
        <v>41503.800000000003</v>
      </c>
      <c r="N66" s="450">
        <f t="shared" si="46"/>
        <v>498045.60000000003</v>
      </c>
    </row>
    <row r="67" spans="1:14" x14ac:dyDescent="0.35">
      <c r="A67" s="428">
        <v>12</v>
      </c>
      <c r="B67" s="838" t="s">
        <v>1379</v>
      </c>
      <c r="C67" s="839"/>
      <c r="D67" s="839"/>
      <c r="E67" s="839"/>
      <c r="F67" s="35">
        <v>1</v>
      </c>
      <c r="G67" s="334">
        <v>5</v>
      </c>
      <c r="H67" s="429">
        <v>13818</v>
      </c>
      <c r="I67" s="391">
        <f t="shared" si="47"/>
        <v>13818</v>
      </c>
      <c r="J67" s="409">
        <f t="shared" si="42"/>
        <v>9672.5999999999985</v>
      </c>
      <c r="K67" s="409">
        <f t="shared" si="43"/>
        <v>11745.3</v>
      </c>
      <c r="L67" s="409">
        <f t="shared" si="44"/>
        <v>11745.3</v>
      </c>
      <c r="M67" s="409">
        <f t="shared" si="45"/>
        <v>46981.2</v>
      </c>
      <c r="N67" s="450">
        <f t="shared" si="46"/>
        <v>563774.39999999991</v>
      </c>
    </row>
    <row r="68" spans="1:14" x14ac:dyDescent="0.35">
      <c r="A68" s="428">
        <v>13</v>
      </c>
      <c r="B68" s="838" t="s">
        <v>27</v>
      </c>
      <c r="C68" s="839"/>
      <c r="D68" s="839"/>
      <c r="E68" s="839"/>
      <c r="F68" s="35">
        <v>1</v>
      </c>
      <c r="G68" s="397">
        <v>4</v>
      </c>
      <c r="H68" s="407">
        <v>12207</v>
      </c>
      <c r="I68" s="391">
        <f t="shared" si="47"/>
        <v>12207</v>
      </c>
      <c r="J68" s="409">
        <f t="shared" si="42"/>
        <v>8544.9</v>
      </c>
      <c r="K68" s="409">
        <f t="shared" si="43"/>
        <v>10375.950000000001</v>
      </c>
      <c r="L68" s="409">
        <f t="shared" si="44"/>
        <v>10375.950000000001</v>
      </c>
      <c r="M68" s="409">
        <f t="shared" si="45"/>
        <v>41503.800000000003</v>
      </c>
      <c r="N68" s="450">
        <f t="shared" si="46"/>
        <v>498045.60000000003</v>
      </c>
    </row>
    <row r="69" spans="1:14" x14ac:dyDescent="0.35">
      <c r="A69" s="428">
        <v>14</v>
      </c>
      <c r="B69" s="838" t="s">
        <v>28</v>
      </c>
      <c r="C69" s="839"/>
      <c r="D69" s="839"/>
      <c r="E69" s="839"/>
      <c r="F69" s="35">
        <v>1</v>
      </c>
      <c r="G69" s="397">
        <v>5</v>
      </c>
      <c r="H69" s="429">
        <v>13818</v>
      </c>
      <c r="I69" s="391">
        <f t="shared" si="47"/>
        <v>13818</v>
      </c>
      <c r="J69" s="451">
        <f t="shared" si="42"/>
        <v>9672.5999999999985</v>
      </c>
      <c r="K69" s="451">
        <f t="shared" si="43"/>
        <v>11745.3</v>
      </c>
      <c r="L69" s="451">
        <f t="shared" si="44"/>
        <v>11745.3</v>
      </c>
      <c r="M69" s="451">
        <f t="shared" si="45"/>
        <v>46981.2</v>
      </c>
      <c r="N69" s="452">
        <f t="shared" si="46"/>
        <v>563774.39999999991</v>
      </c>
    </row>
    <row r="70" spans="1:14" x14ac:dyDescent="0.35">
      <c r="A70" s="428">
        <v>15</v>
      </c>
      <c r="B70" s="838" t="s">
        <v>122</v>
      </c>
      <c r="C70" s="839"/>
      <c r="D70" s="839"/>
      <c r="E70" s="839"/>
      <c r="F70" s="35">
        <v>2</v>
      </c>
      <c r="G70" s="397">
        <v>4</v>
      </c>
      <c r="H70" s="407">
        <v>12207</v>
      </c>
      <c r="I70" s="391">
        <f>F70*H70</f>
        <v>24414</v>
      </c>
      <c r="J70" s="409">
        <f t="shared" si="42"/>
        <v>17089.8</v>
      </c>
      <c r="K70" s="409">
        <f t="shared" si="43"/>
        <v>20751.900000000001</v>
      </c>
      <c r="L70" s="409">
        <f t="shared" si="44"/>
        <v>20751.900000000001</v>
      </c>
      <c r="M70" s="409">
        <f t="shared" si="45"/>
        <v>83007.600000000006</v>
      </c>
      <c r="N70" s="450">
        <f t="shared" si="46"/>
        <v>996091.20000000007</v>
      </c>
    </row>
    <row r="71" spans="1:14" ht="15" thickBot="1" x14ac:dyDescent="0.4">
      <c r="A71" s="428">
        <v>16</v>
      </c>
      <c r="B71" s="838" t="s">
        <v>99</v>
      </c>
      <c r="C71" s="839"/>
      <c r="D71" s="839"/>
      <c r="E71" s="839"/>
      <c r="F71" s="35">
        <v>2</v>
      </c>
      <c r="G71" s="35">
        <v>4</v>
      </c>
      <c r="H71" s="407">
        <v>12207</v>
      </c>
      <c r="I71" s="42">
        <f>F71*H71</f>
        <v>24414</v>
      </c>
      <c r="J71" s="42">
        <f>I71*0.75</f>
        <v>18310.5</v>
      </c>
      <c r="K71" s="409">
        <f t="shared" si="43"/>
        <v>21362.25</v>
      </c>
      <c r="L71" s="409">
        <f t="shared" si="44"/>
        <v>21362.25</v>
      </c>
      <c r="M71" s="42">
        <f t="shared" si="45"/>
        <v>85449</v>
      </c>
      <c r="N71" s="409">
        <f t="shared" si="46"/>
        <v>1025388</v>
      </c>
    </row>
    <row r="72" spans="1:14" ht="15" thickBot="1" x14ac:dyDescent="0.4">
      <c r="A72" s="954" t="s">
        <v>95</v>
      </c>
      <c r="B72" s="955"/>
      <c r="C72" s="955"/>
      <c r="D72" s="955"/>
      <c r="E72" s="956"/>
      <c r="F72" s="398">
        <f>SUM(F56:F71)</f>
        <v>18</v>
      </c>
      <c r="G72" s="453"/>
      <c r="H72" s="400"/>
      <c r="I72" s="400"/>
      <c r="J72" s="401">
        <f>SUM(J56:J71)</f>
        <v>159896.69999999998</v>
      </c>
      <c r="K72" s="401">
        <f>SUM(K56:K71)</f>
        <v>193288.34999999998</v>
      </c>
      <c r="L72" s="401">
        <f>SUM(L56:L71)</f>
        <v>193288.34999999998</v>
      </c>
      <c r="M72" s="401">
        <f>SUM(M56:M71)</f>
        <v>773153.39999999991</v>
      </c>
      <c r="N72" s="419">
        <f>SUM(N56:N71)</f>
        <v>9277840.8000000007</v>
      </c>
    </row>
    <row r="73" spans="1:14" ht="15" thickBot="1" x14ac:dyDescent="0.4">
      <c r="A73" s="384"/>
      <c r="B73" s="384"/>
      <c r="C73" s="402" t="s">
        <v>29</v>
      </c>
      <c r="D73" s="402"/>
      <c r="E73" s="402"/>
      <c r="F73" s="402"/>
      <c r="G73" s="402"/>
      <c r="H73" s="402"/>
      <c r="I73" s="402"/>
      <c r="J73" s="402"/>
      <c r="K73" s="402"/>
      <c r="L73" s="384"/>
      <c r="M73" s="384"/>
      <c r="N73" s="384"/>
    </row>
    <row r="74" spans="1:14" ht="15" thickBot="1" x14ac:dyDescent="0.4">
      <c r="A74" s="969" t="s">
        <v>0</v>
      </c>
      <c r="B74" s="959" t="s">
        <v>1</v>
      </c>
      <c r="C74" s="960"/>
      <c r="D74" s="960"/>
      <c r="E74" s="971"/>
      <c r="F74" s="973" t="s">
        <v>86</v>
      </c>
      <c r="G74" s="957" t="s">
        <v>87</v>
      </c>
      <c r="H74" s="973" t="s">
        <v>88</v>
      </c>
      <c r="I74" s="975" t="s">
        <v>89</v>
      </c>
      <c r="J74" s="976"/>
      <c r="K74" s="976"/>
      <c r="L74" s="976"/>
      <c r="M74" s="977"/>
      <c r="N74" s="978" t="s">
        <v>90</v>
      </c>
    </row>
    <row r="75" spans="1:14" ht="20.25" customHeight="1" thickBot="1" x14ac:dyDescent="0.4">
      <c r="A75" s="970"/>
      <c r="B75" s="962"/>
      <c r="C75" s="963"/>
      <c r="D75" s="963"/>
      <c r="E75" s="972"/>
      <c r="F75" s="974"/>
      <c r="G75" s="958"/>
      <c r="H75" s="974"/>
      <c r="I75" s="403" t="s">
        <v>91</v>
      </c>
      <c r="J75" s="454" t="s">
        <v>92</v>
      </c>
      <c r="K75" s="387" t="s">
        <v>93</v>
      </c>
      <c r="L75" s="386" t="s">
        <v>94</v>
      </c>
      <c r="M75" s="387" t="s">
        <v>95</v>
      </c>
      <c r="N75" s="979"/>
    </row>
    <row r="76" spans="1:14" x14ac:dyDescent="0.35">
      <c r="A76" s="404">
        <v>1</v>
      </c>
      <c r="B76" s="994" t="s">
        <v>37</v>
      </c>
      <c r="C76" s="994"/>
      <c r="D76" s="994"/>
      <c r="E76" s="994"/>
      <c r="F76" s="455">
        <v>1</v>
      </c>
      <c r="G76" s="412">
        <v>1</v>
      </c>
      <c r="H76" s="412">
        <v>8477</v>
      </c>
      <c r="I76" s="391">
        <f>F76*H76</f>
        <v>8477</v>
      </c>
      <c r="J76" s="392">
        <f>I76*0.4</f>
        <v>3390.8</v>
      </c>
      <c r="K76" s="392">
        <f>(I76+J76)*0.5</f>
        <v>5933.9</v>
      </c>
      <c r="L76" s="392">
        <f>K76</f>
        <v>5933.9</v>
      </c>
      <c r="M76" s="392">
        <f>I76+J76+K76+L76</f>
        <v>23735.599999999999</v>
      </c>
      <c r="N76" s="393">
        <f>M76*12</f>
        <v>284827.19999999995</v>
      </c>
    </row>
    <row r="77" spans="1:14" x14ac:dyDescent="0.35">
      <c r="A77" s="456">
        <v>2</v>
      </c>
      <c r="B77" s="873" t="s">
        <v>31</v>
      </c>
      <c r="C77" s="874"/>
      <c r="D77" s="874"/>
      <c r="E77" s="874"/>
      <c r="F77" s="36">
        <v>2</v>
      </c>
      <c r="G77" s="334">
        <v>1</v>
      </c>
      <c r="H77" s="412">
        <v>8477</v>
      </c>
      <c r="I77" s="391">
        <f>F77*H77</f>
        <v>16954</v>
      </c>
      <c r="J77" s="392">
        <f>I77*0.4</f>
        <v>6781.6</v>
      </c>
      <c r="K77" s="392">
        <f>(I77+J77)*0.5</f>
        <v>11867.8</v>
      </c>
      <c r="L77" s="392">
        <f>K77</f>
        <v>11867.8</v>
      </c>
      <c r="M77" s="392">
        <f>I77+J77+K77+L77</f>
        <v>47471.199999999997</v>
      </c>
      <c r="N77" s="393">
        <f>M77*12</f>
        <v>569654.39999999991</v>
      </c>
    </row>
    <row r="78" spans="1:14" x14ac:dyDescent="0.35">
      <c r="A78" s="428">
        <v>3</v>
      </c>
      <c r="B78" s="838" t="s">
        <v>33</v>
      </c>
      <c r="C78" s="839"/>
      <c r="D78" s="839"/>
      <c r="E78" s="839"/>
      <c r="F78" s="35">
        <v>1</v>
      </c>
      <c r="G78" s="334">
        <v>2</v>
      </c>
      <c r="H78" s="334">
        <v>9579</v>
      </c>
      <c r="I78" s="391">
        <f>F78*H78</f>
        <v>9579</v>
      </c>
      <c r="J78" s="409">
        <f>I78*0.6</f>
        <v>5747.4</v>
      </c>
      <c r="K78" s="409">
        <f>(I78+J78)*0.5</f>
        <v>7663.2</v>
      </c>
      <c r="L78" s="409">
        <f>K78</f>
        <v>7663.2</v>
      </c>
      <c r="M78" s="409">
        <f>I78+J78+K78+L78</f>
        <v>30652.799999999999</v>
      </c>
      <c r="N78" s="450">
        <f>M78*12</f>
        <v>367833.59999999998</v>
      </c>
    </row>
    <row r="79" spans="1:14" ht="15" thickBot="1" x14ac:dyDescent="0.4">
      <c r="A79" s="457">
        <v>4</v>
      </c>
      <c r="B79" s="871" t="s">
        <v>35</v>
      </c>
      <c r="C79" s="872"/>
      <c r="D79" s="872"/>
      <c r="E79" s="872"/>
      <c r="F79" s="433">
        <v>4</v>
      </c>
      <c r="G79" s="43">
        <v>1</v>
      </c>
      <c r="H79" s="412">
        <v>8477</v>
      </c>
      <c r="I79" s="416">
        <f>F79*H79</f>
        <v>33908</v>
      </c>
      <c r="J79" s="451">
        <f>I79*0.4</f>
        <v>13563.2</v>
      </c>
      <c r="K79" s="451">
        <f>(I79+J79)*0.5</f>
        <v>23735.599999999999</v>
      </c>
      <c r="L79" s="451">
        <f>K79</f>
        <v>23735.599999999999</v>
      </c>
      <c r="M79" s="451">
        <f>I79+J79+K79+L79</f>
        <v>94942.399999999994</v>
      </c>
      <c r="N79" s="452">
        <f>M79*12</f>
        <v>1139308.7999999998</v>
      </c>
    </row>
    <row r="80" spans="1:14" ht="15" thickBot="1" x14ac:dyDescent="0.4">
      <c r="A80" s="954" t="s">
        <v>95</v>
      </c>
      <c r="B80" s="955"/>
      <c r="C80" s="955"/>
      <c r="D80" s="955"/>
      <c r="E80" s="956"/>
      <c r="F80" s="398">
        <f>SUM(F76:F79)</f>
        <v>8</v>
      </c>
      <c r="G80" s="399"/>
      <c r="H80" s="442"/>
      <c r="I80" s="442"/>
      <c r="J80" s="401">
        <f>SUM(J76:J79)</f>
        <v>29483</v>
      </c>
      <c r="K80" s="401">
        <f>SUM(K76:K79)</f>
        <v>49200.5</v>
      </c>
      <c r="L80" s="401">
        <f>SUM(L76:L79)</f>
        <v>49200.5</v>
      </c>
      <c r="M80" s="401">
        <f>SUM(M76:M79)</f>
        <v>196802</v>
      </c>
      <c r="N80" s="419">
        <f>SUM(N76:N79)</f>
        <v>2361623.9999999995</v>
      </c>
    </row>
    <row r="81" spans="1:14" x14ac:dyDescent="0.35">
      <c r="A81" s="758" t="s">
        <v>100</v>
      </c>
      <c r="B81" s="758"/>
      <c r="C81" s="758"/>
      <c r="D81" s="758"/>
      <c r="E81" s="384"/>
      <c r="F81" s="759">
        <f>F25+F37+F72+F80+F52</f>
        <v>91</v>
      </c>
      <c r="G81" s="760"/>
      <c r="H81" s="760"/>
      <c r="I81" s="760"/>
      <c r="J81" s="760"/>
      <c r="K81" s="760"/>
      <c r="L81" s="760"/>
      <c r="M81" s="760"/>
      <c r="N81" s="761">
        <f>N25+N37+N52+N72+N80</f>
        <v>54694916.400000006</v>
      </c>
    </row>
    <row r="82" spans="1:14" x14ac:dyDescent="0.3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4" x14ac:dyDescent="0.35">
      <c r="A83" s="44" t="s">
        <v>1047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</sheetData>
  <mergeCells count="86">
    <mergeCell ref="N74:N75"/>
    <mergeCell ref="B76:E76"/>
    <mergeCell ref="B77:E77"/>
    <mergeCell ref="B78:E78"/>
    <mergeCell ref="B79:E79"/>
    <mergeCell ref="H74:H75"/>
    <mergeCell ref="I74:M74"/>
    <mergeCell ref="A80:E80"/>
    <mergeCell ref="A74:A75"/>
    <mergeCell ref="B74:E75"/>
    <mergeCell ref="F74:F75"/>
    <mergeCell ref="G74:G75"/>
    <mergeCell ref="A72:E72"/>
    <mergeCell ref="B57:E57"/>
    <mergeCell ref="B58:E58"/>
    <mergeCell ref="B59:E59"/>
    <mergeCell ref="B60:E60"/>
    <mergeCell ref="B66:E66"/>
    <mergeCell ref="B67:E67"/>
    <mergeCell ref="B68:E68"/>
    <mergeCell ref="B69:E69"/>
    <mergeCell ref="B70:E70"/>
    <mergeCell ref="B71:E71"/>
    <mergeCell ref="B61:E61"/>
    <mergeCell ref="B62:E62"/>
    <mergeCell ref="B63:E63"/>
    <mergeCell ref="F54:F55"/>
    <mergeCell ref="G54:G55"/>
    <mergeCell ref="H54:H55"/>
    <mergeCell ref="I54:M54"/>
    <mergeCell ref="N54:N55"/>
    <mergeCell ref="F39:F40"/>
    <mergeCell ref="G39:G40"/>
    <mergeCell ref="H39:H40"/>
    <mergeCell ref="I39:M39"/>
    <mergeCell ref="N39:N40"/>
    <mergeCell ref="F27:F28"/>
    <mergeCell ref="G27:G28"/>
    <mergeCell ref="H27:H28"/>
    <mergeCell ref="I27:M27"/>
    <mergeCell ref="N27:N28"/>
    <mergeCell ref="B33:E33"/>
    <mergeCell ref="A25:E25"/>
    <mergeCell ref="A27:A28"/>
    <mergeCell ref="B27:E28"/>
    <mergeCell ref="B31:E31"/>
    <mergeCell ref="B32:E32"/>
    <mergeCell ref="B29:E29"/>
    <mergeCell ref="B30:E30"/>
    <mergeCell ref="B15:E15"/>
    <mergeCell ref="B20:E20"/>
    <mergeCell ref="B16:E16"/>
    <mergeCell ref="B17:E17"/>
    <mergeCell ref="B18:E18"/>
    <mergeCell ref="B19:E19"/>
    <mergeCell ref="B10:E10"/>
    <mergeCell ref="B11:E11"/>
    <mergeCell ref="B12:E12"/>
    <mergeCell ref="B13:E13"/>
    <mergeCell ref="B14:E14"/>
    <mergeCell ref="A5:N5"/>
    <mergeCell ref="A8:A9"/>
    <mergeCell ref="B8:E9"/>
    <mergeCell ref="F8:F9"/>
    <mergeCell ref="G8:G9"/>
    <mergeCell ref="H8:H9"/>
    <mergeCell ref="I8:M8"/>
    <mergeCell ref="N8:N9"/>
    <mergeCell ref="B56:E56"/>
    <mergeCell ref="B45:E45"/>
    <mergeCell ref="B46:E46"/>
    <mergeCell ref="B47:E47"/>
    <mergeCell ref="B48:E48"/>
    <mergeCell ref="A52:E52"/>
    <mergeCell ref="A54:A55"/>
    <mergeCell ref="B54:E55"/>
    <mergeCell ref="B34:E34"/>
    <mergeCell ref="B41:E41"/>
    <mergeCell ref="B42:E42"/>
    <mergeCell ref="B43:E43"/>
    <mergeCell ref="B44:E44"/>
    <mergeCell ref="B35:E35"/>
    <mergeCell ref="B36:E36"/>
    <mergeCell ref="A37:E37"/>
    <mergeCell ref="A39:A40"/>
    <mergeCell ref="B39:E4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G56" sqref="A1:G56"/>
    </sheetView>
  </sheetViews>
  <sheetFormatPr defaultRowHeight="14.5" x14ac:dyDescent="0.35"/>
  <cols>
    <col min="1" max="1" width="7" customWidth="1"/>
    <col min="2" max="2" width="25.453125" customWidth="1"/>
    <col min="3" max="3" width="10.453125" customWidth="1"/>
    <col min="4" max="4" width="10.54296875" customWidth="1"/>
    <col min="5" max="5" width="11.81640625" customWidth="1"/>
    <col min="6" max="6" width="10.7265625" customWidth="1"/>
    <col min="7" max="7" width="10.1796875" customWidth="1"/>
  </cols>
  <sheetData>
    <row r="1" spans="1:7" x14ac:dyDescent="0.35">
      <c r="A1" s="313"/>
      <c r="B1" s="314" t="s">
        <v>238</v>
      </c>
      <c r="C1" s="313" t="s">
        <v>1386</v>
      </c>
      <c r="D1" s="313"/>
      <c r="E1" s="313"/>
      <c r="F1" s="1005" t="s">
        <v>205</v>
      </c>
      <c r="G1" s="1005"/>
    </row>
    <row r="2" spans="1:7" x14ac:dyDescent="0.35">
      <c r="A2" s="997" t="s">
        <v>204</v>
      </c>
      <c r="B2" s="997"/>
      <c r="C2" s="997"/>
      <c r="D2" s="997"/>
      <c r="E2" s="997"/>
      <c r="F2" s="997"/>
      <c r="G2" s="997"/>
    </row>
    <row r="3" spans="1:7" x14ac:dyDescent="0.35">
      <c r="A3" s="997"/>
      <c r="B3" s="997"/>
      <c r="C3" s="997"/>
      <c r="D3" s="997"/>
      <c r="E3" s="997"/>
      <c r="F3" s="997"/>
      <c r="G3" s="997"/>
    </row>
    <row r="4" spans="1:7" ht="27.75" customHeight="1" thickBot="1" x14ac:dyDescent="0.4">
      <c r="A4" s="998"/>
      <c r="B4" s="998"/>
      <c r="C4" s="998"/>
      <c r="D4" s="998"/>
      <c r="E4" s="998"/>
      <c r="F4" s="998"/>
      <c r="G4" s="998"/>
    </row>
    <row r="5" spans="1:7" ht="57.5" x14ac:dyDescent="0.35">
      <c r="A5" s="999" t="s">
        <v>130</v>
      </c>
      <c r="B5" s="1001" t="s">
        <v>131</v>
      </c>
      <c r="C5" s="1001" t="s">
        <v>44</v>
      </c>
      <c r="D5" s="1003" t="s">
        <v>132</v>
      </c>
      <c r="E5" s="66" t="s">
        <v>133</v>
      </c>
      <c r="F5" s="66" t="s">
        <v>134</v>
      </c>
      <c r="G5" s="67" t="s">
        <v>135</v>
      </c>
    </row>
    <row r="6" spans="1:7" x14ac:dyDescent="0.35">
      <c r="A6" s="1000"/>
      <c r="B6" s="1002"/>
      <c r="C6" s="1002"/>
      <c r="D6" s="1004"/>
      <c r="E6" s="68" t="s">
        <v>136</v>
      </c>
      <c r="F6" s="68" t="s">
        <v>137</v>
      </c>
      <c r="G6" s="69" t="s">
        <v>138</v>
      </c>
    </row>
    <row r="7" spans="1:7" x14ac:dyDescent="0.35">
      <c r="A7" s="70"/>
      <c r="B7" s="71"/>
      <c r="C7" s="71"/>
      <c r="D7" s="68"/>
      <c r="E7" s="72" t="s">
        <v>139</v>
      </c>
      <c r="F7" s="72" t="s">
        <v>140</v>
      </c>
      <c r="G7" s="73" t="s">
        <v>141</v>
      </c>
    </row>
    <row r="8" spans="1:7" x14ac:dyDescent="0.35">
      <c r="A8" s="70">
        <v>1</v>
      </c>
      <c r="B8" s="71">
        <f>+A8+1</f>
        <v>2</v>
      </c>
      <c r="C8" s="71">
        <f>+B8+1</f>
        <v>3</v>
      </c>
      <c r="D8" s="68">
        <f>+C8+1</f>
        <v>4</v>
      </c>
      <c r="E8" s="68">
        <f>+D8+1</f>
        <v>5</v>
      </c>
      <c r="F8" s="68">
        <f>+E8+1</f>
        <v>6</v>
      </c>
      <c r="G8" s="69" t="s">
        <v>142</v>
      </c>
    </row>
    <row r="9" spans="1:7" x14ac:dyDescent="0.35">
      <c r="A9" s="995">
        <v>1</v>
      </c>
      <c r="B9" s="996" t="s">
        <v>143</v>
      </c>
      <c r="C9" s="996" t="s">
        <v>144</v>
      </c>
      <c r="D9" s="74">
        <v>1150</v>
      </c>
      <c r="E9" s="75"/>
      <c r="F9" s="75"/>
      <c r="G9" s="76">
        <f>E9*F9</f>
        <v>0</v>
      </c>
    </row>
    <row r="10" spans="1:7" x14ac:dyDescent="0.35">
      <c r="A10" s="995"/>
      <c r="B10" s="996"/>
      <c r="C10" s="996"/>
      <c r="D10" s="74">
        <v>750</v>
      </c>
      <c r="E10" s="75"/>
      <c r="F10" s="75"/>
      <c r="G10" s="76">
        <f>E10*F10</f>
        <v>0</v>
      </c>
    </row>
    <row r="11" spans="1:7" x14ac:dyDescent="0.35">
      <c r="A11" s="995"/>
      <c r="B11" s="996"/>
      <c r="C11" s="996"/>
      <c r="D11" s="74" t="s">
        <v>145</v>
      </c>
      <c r="E11" s="75"/>
      <c r="F11" s="75"/>
      <c r="G11" s="76">
        <f>E11*F11</f>
        <v>0</v>
      </c>
    </row>
    <row r="12" spans="1:7" x14ac:dyDescent="0.35">
      <c r="A12" s="995"/>
      <c r="B12" s="996"/>
      <c r="C12" s="996"/>
      <c r="D12" s="74">
        <v>330</v>
      </c>
      <c r="E12" s="75"/>
      <c r="F12" s="75"/>
      <c r="G12" s="76">
        <f>E12*F12</f>
        <v>0</v>
      </c>
    </row>
    <row r="13" spans="1:7" x14ac:dyDescent="0.35">
      <c r="A13" s="995"/>
      <c r="B13" s="996"/>
      <c r="C13" s="996"/>
      <c r="D13" s="74">
        <v>220</v>
      </c>
      <c r="E13" s="75"/>
      <c r="F13" s="75"/>
      <c r="G13" s="76">
        <f t="shared" ref="G13:G50" si="0">E13*F13</f>
        <v>0</v>
      </c>
    </row>
    <row r="14" spans="1:7" x14ac:dyDescent="0.35">
      <c r="A14" s="995"/>
      <c r="B14" s="996"/>
      <c r="C14" s="996"/>
      <c r="D14" s="74" t="s">
        <v>146</v>
      </c>
      <c r="E14" s="75"/>
      <c r="F14" s="75"/>
      <c r="G14" s="76">
        <f t="shared" si="0"/>
        <v>0</v>
      </c>
    </row>
    <row r="15" spans="1:7" x14ac:dyDescent="0.35">
      <c r="A15" s="995"/>
      <c r="B15" s="996"/>
      <c r="C15" s="996"/>
      <c r="D15" s="74">
        <v>35</v>
      </c>
      <c r="E15" s="75">
        <v>75</v>
      </c>
      <c r="F15" s="75">
        <v>1</v>
      </c>
      <c r="G15" s="76">
        <f t="shared" si="0"/>
        <v>75</v>
      </c>
    </row>
    <row r="16" spans="1:7" x14ac:dyDescent="0.35">
      <c r="A16" s="995">
        <v>2</v>
      </c>
      <c r="B16" s="996" t="s">
        <v>147</v>
      </c>
      <c r="C16" s="996" t="s">
        <v>148</v>
      </c>
      <c r="D16" s="74">
        <v>1150</v>
      </c>
      <c r="E16" s="75"/>
      <c r="F16" s="75"/>
      <c r="G16" s="76">
        <f t="shared" si="0"/>
        <v>0</v>
      </c>
    </row>
    <row r="17" spans="1:7" x14ac:dyDescent="0.35">
      <c r="A17" s="995"/>
      <c r="B17" s="996"/>
      <c r="C17" s="996"/>
      <c r="D17" s="74">
        <v>750</v>
      </c>
      <c r="E17" s="75"/>
      <c r="F17" s="75"/>
      <c r="G17" s="76">
        <f t="shared" si="0"/>
        <v>0</v>
      </c>
    </row>
    <row r="18" spans="1:7" x14ac:dyDescent="0.35">
      <c r="A18" s="995"/>
      <c r="B18" s="996"/>
      <c r="C18" s="996"/>
      <c r="D18" s="74" t="s">
        <v>145</v>
      </c>
      <c r="E18" s="75"/>
      <c r="F18" s="75"/>
      <c r="G18" s="76">
        <f t="shared" si="0"/>
        <v>0</v>
      </c>
    </row>
    <row r="19" spans="1:7" x14ac:dyDescent="0.35">
      <c r="A19" s="995"/>
      <c r="B19" s="996"/>
      <c r="C19" s="996"/>
      <c r="D19" s="74">
        <v>330</v>
      </c>
      <c r="E19" s="75"/>
      <c r="F19" s="75"/>
      <c r="G19" s="76">
        <f t="shared" si="0"/>
        <v>0</v>
      </c>
    </row>
    <row r="20" spans="1:7" x14ac:dyDescent="0.35">
      <c r="A20" s="995"/>
      <c r="B20" s="996"/>
      <c r="C20" s="996"/>
      <c r="D20" s="74">
        <v>220</v>
      </c>
      <c r="E20" s="75"/>
      <c r="F20" s="75"/>
      <c r="G20" s="76">
        <f t="shared" si="0"/>
        <v>0</v>
      </c>
    </row>
    <row r="21" spans="1:7" x14ac:dyDescent="0.35">
      <c r="A21" s="995"/>
      <c r="B21" s="996"/>
      <c r="C21" s="996"/>
      <c r="D21" s="74" t="s">
        <v>146</v>
      </c>
      <c r="E21" s="75"/>
      <c r="F21" s="75"/>
      <c r="G21" s="76">
        <f t="shared" si="0"/>
        <v>0</v>
      </c>
    </row>
    <row r="22" spans="1:7" x14ac:dyDescent="0.35">
      <c r="A22" s="995"/>
      <c r="B22" s="996"/>
      <c r="C22" s="996"/>
      <c r="D22" s="74">
        <v>35</v>
      </c>
      <c r="E22" s="75"/>
      <c r="F22" s="75"/>
      <c r="G22" s="76">
        <f t="shared" si="0"/>
        <v>0</v>
      </c>
    </row>
    <row r="23" spans="1:7" x14ac:dyDescent="0.35">
      <c r="A23" s="995"/>
      <c r="B23" s="996"/>
      <c r="C23" s="996"/>
      <c r="D23" s="77" t="s">
        <v>149</v>
      </c>
      <c r="E23" s="75">
        <v>1</v>
      </c>
      <c r="F23" s="75">
        <v>2</v>
      </c>
      <c r="G23" s="76">
        <f t="shared" si="0"/>
        <v>2</v>
      </c>
    </row>
    <row r="24" spans="1:7" x14ac:dyDescent="0.35">
      <c r="A24" s="995">
        <v>3</v>
      </c>
      <c r="B24" s="996" t="s">
        <v>150</v>
      </c>
      <c r="C24" s="996" t="s">
        <v>151</v>
      </c>
      <c r="D24" s="74">
        <v>1150</v>
      </c>
      <c r="E24" s="75"/>
      <c r="F24" s="75"/>
      <c r="G24" s="76">
        <f t="shared" si="0"/>
        <v>0</v>
      </c>
    </row>
    <row r="25" spans="1:7" x14ac:dyDescent="0.35">
      <c r="A25" s="995"/>
      <c r="B25" s="996"/>
      <c r="C25" s="996"/>
      <c r="D25" s="74">
        <v>750</v>
      </c>
      <c r="E25" s="75"/>
      <c r="F25" s="75"/>
      <c r="G25" s="76">
        <f t="shared" si="0"/>
        <v>0</v>
      </c>
    </row>
    <row r="26" spans="1:7" x14ac:dyDescent="0.35">
      <c r="A26" s="995"/>
      <c r="B26" s="996"/>
      <c r="C26" s="996"/>
      <c r="D26" s="74" t="s">
        <v>145</v>
      </c>
      <c r="E26" s="75"/>
      <c r="F26" s="75"/>
      <c r="G26" s="76">
        <f t="shared" si="0"/>
        <v>0</v>
      </c>
    </row>
    <row r="27" spans="1:7" x14ac:dyDescent="0.35">
      <c r="A27" s="995"/>
      <c r="B27" s="996"/>
      <c r="C27" s="996"/>
      <c r="D27" s="74">
        <v>330</v>
      </c>
      <c r="E27" s="75"/>
      <c r="F27" s="75"/>
      <c r="G27" s="76">
        <f t="shared" si="0"/>
        <v>0</v>
      </c>
    </row>
    <row r="28" spans="1:7" x14ac:dyDescent="0.35">
      <c r="A28" s="995"/>
      <c r="B28" s="996"/>
      <c r="C28" s="996"/>
      <c r="D28" s="74">
        <v>220</v>
      </c>
      <c r="E28" s="75"/>
      <c r="F28" s="75"/>
      <c r="G28" s="76">
        <f t="shared" si="0"/>
        <v>0</v>
      </c>
    </row>
    <row r="29" spans="1:7" x14ac:dyDescent="0.35">
      <c r="A29" s="995"/>
      <c r="B29" s="996"/>
      <c r="C29" s="996"/>
      <c r="D29" s="74" t="s">
        <v>146</v>
      </c>
      <c r="E29" s="75"/>
      <c r="F29" s="75"/>
      <c r="G29" s="76">
        <f t="shared" si="0"/>
        <v>0</v>
      </c>
    </row>
    <row r="30" spans="1:7" x14ac:dyDescent="0.35">
      <c r="A30" s="995"/>
      <c r="B30" s="996"/>
      <c r="C30" s="996"/>
      <c r="D30" s="74">
        <v>35</v>
      </c>
      <c r="E30" s="75"/>
      <c r="F30" s="75"/>
      <c r="G30" s="76">
        <f t="shared" si="0"/>
        <v>0</v>
      </c>
    </row>
    <row r="31" spans="1:7" x14ac:dyDescent="0.35">
      <c r="A31" s="995"/>
      <c r="B31" s="996"/>
      <c r="C31" s="996"/>
      <c r="D31" s="77" t="s">
        <v>149</v>
      </c>
      <c r="E31" s="75"/>
      <c r="F31" s="75"/>
      <c r="G31" s="76">
        <f t="shared" si="0"/>
        <v>0</v>
      </c>
    </row>
    <row r="32" spans="1:7" x14ac:dyDescent="0.35">
      <c r="A32" s="995">
        <v>4</v>
      </c>
      <c r="B32" s="996" t="s">
        <v>152</v>
      </c>
      <c r="C32" s="996" t="s">
        <v>153</v>
      </c>
      <c r="D32" s="74">
        <v>220</v>
      </c>
      <c r="E32" s="75"/>
      <c r="F32" s="75"/>
      <c r="G32" s="76">
        <f t="shared" si="0"/>
        <v>0</v>
      </c>
    </row>
    <row r="33" spans="1:7" x14ac:dyDescent="0.35">
      <c r="A33" s="995"/>
      <c r="B33" s="996"/>
      <c r="C33" s="996"/>
      <c r="D33" s="74" t="s">
        <v>146</v>
      </c>
      <c r="E33" s="75"/>
      <c r="F33" s="75"/>
      <c r="G33" s="76">
        <f t="shared" si="0"/>
        <v>0</v>
      </c>
    </row>
    <row r="34" spans="1:7" x14ac:dyDescent="0.35">
      <c r="A34" s="995"/>
      <c r="B34" s="996"/>
      <c r="C34" s="996"/>
      <c r="D34" s="74">
        <v>35</v>
      </c>
      <c r="E34" s="75">
        <v>6.4</v>
      </c>
      <c r="F34" s="75">
        <v>3</v>
      </c>
      <c r="G34" s="76">
        <f t="shared" si="0"/>
        <v>19.200000000000003</v>
      </c>
    </row>
    <row r="35" spans="1:7" x14ac:dyDescent="0.35">
      <c r="A35" s="995"/>
      <c r="B35" s="996"/>
      <c r="C35" s="996"/>
      <c r="D35" s="77" t="s">
        <v>149</v>
      </c>
      <c r="E35" s="75">
        <v>3.1</v>
      </c>
      <c r="F35" s="75">
        <v>30</v>
      </c>
      <c r="G35" s="76">
        <f t="shared" si="0"/>
        <v>93</v>
      </c>
    </row>
    <row r="36" spans="1:7" x14ac:dyDescent="0.35">
      <c r="A36" s="995">
        <v>5</v>
      </c>
      <c r="B36" s="996" t="s">
        <v>154</v>
      </c>
      <c r="C36" s="996" t="s">
        <v>148</v>
      </c>
      <c r="D36" s="74" t="s">
        <v>145</v>
      </c>
      <c r="E36" s="75"/>
      <c r="F36" s="75"/>
      <c r="G36" s="76">
        <f t="shared" si="0"/>
        <v>0</v>
      </c>
    </row>
    <row r="37" spans="1:7" x14ac:dyDescent="0.35">
      <c r="A37" s="995"/>
      <c r="B37" s="996"/>
      <c r="C37" s="996"/>
      <c r="D37" s="74">
        <v>330</v>
      </c>
      <c r="E37" s="75"/>
      <c r="F37" s="75"/>
      <c r="G37" s="76">
        <f t="shared" si="0"/>
        <v>0</v>
      </c>
    </row>
    <row r="38" spans="1:7" x14ac:dyDescent="0.35">
      <c r="A38" s="995"/>
      <c r="B38" s="996"/>
      <c r="C38" s="996"/>
      <c r="D38" s="74">
        <v>220</v>
      </c>
      <c r="E38" s="75"/>
      <c r="F38" s="75"/>
      <c r="G38" s="76">
        <f t="shared" si="0"/>
        <v>0</v>
      </c>
    </row>
    <row r="39" spans="1:7" x14ac:dyDescent="0.35">
      <c r="A39" s="995"/>
      <c r="B39" s="996"/>
      <c r="C39" s="996"/>
      <c r="D39" s="74" t="s">
        <v>146</v>
      </c>
      <c r="E39" s="75"/>
      <c r="F39" s="75"/>
      <c r="G39" s="76">
        <f t="shared" si="0"/>
        <v>0</v>
      </c>
    </row>
    <row r="40" spans="1:7" x14ac:dyDescent="0.35">
      <c r="A40" s="995"/>
      <c r="B40" s="996"/>
      <c r="C40" s="996"/>
      <c r="D40" s="74">
        <v>35</v>
      </c>
      <c r="E40" s="75">
        <v>4.7</v>
      </c>
      <c r="F40" s="75">
        <v>6</v>
      </c>
      <c r="G40" s="76">
        <f t="shared" si="0"/>
        <v>28.200000000000003</v>
      </c>
    </row>
    <row r="41" spans="1:7" ht="22.5" customHeight="1" x14ac:dyDescent="0.35">
      <c r="A41" s="78">
        <v>6</v>
      </c>
      <c r="B41" s="79" t="s">
        <v>155</v>
      </c>
      <c r="C41" s="79" t="s">
        <v>153</v>
      </c>
      <c r="D41" s="77" t="s">
        <v>149</v>
      </c>
      <c r="E41" s="75">
        <v>2.2999999999999998</v>
      </c>
      <c r="F41" s="75">
        <v>341</v>
      </c>
      <c r="G41" s="76">
        <f t="shared" si="0"/>
        <v>784.3</v>
      </c>
    </row>
    <row r="42" spans="1:7" ht="31.5" customHeight="1" x14ac:dyDescent="0.35">
      <c r="A42" s="78">
        <v>7</v>
      </c>
      <c r="B42" s="79" t="s">
        <v>156</v>
      </c>
      <c r="C42" s="79" t="s">
        <v>153</v>
      </c>
      <c r="D42" s="77" t="s">
        <v>149</v>
      </c>
      <c r="E42" s="75"/>
      <c r="F42" s="75"/>
      <c r="G42" s="76">
        <f t="shared" si="0"/>
        <v>0</v>
      </c>
    </row>
    <row r="43" spans="1:7" ht="18" customHeight="1" x14ac:dyDescent="0.35">
      <c r="A43" s="78">
        <v>8</v>
      </c>
      <c r="B43" s="79" t="s">
        <v>157</v>
      </c>
      <c r="C43" s="79" t="s">
        <v>153</v>
      </c>
      <c r="D43" s="77" t="s">
        <v>149</v>
      </c>
      <c r="E43" s="75"/>
      <c r="F43" s="75"/>
      <c r="G43" s="76">
        <f t="shared" si="0"/>
        <v>0</v>
      </c>
    </row>
    <row r="44" spans="1:7" x14ac:dyDescent="0.35">
      <c r="A44" s="1006">
        <v>9</v>
      </c>
      <c r="B44" s="1007" t="s">
        <v>158</v>
      </c>
      <c r="C44" s="1008" t="s">
        <v>159</v>
      </c>
      <c r="D44" s="74" t="s">
        <v>146</v>
      </c>
      <c r="E44" s="75"/>
      <c r="F44" s="75"/>
      <c r="G44" s="76">
        <f t="shared" si="0"/>
        <v>0</v>
      </c>
    </row>
    <row r="45" spans="1:7" x14ac:dyDescent="0.35">
      <c r="A45" s="1006"/>
      <c r="B45" s="1007"/>
      <c r="C45" s="1008"/>
      <c r="D45" s="74">
        <v>35</v>
      </c>
      <c r="E45" s="75"/>
      <c r="F45" s="75"/>
      <c r="G45" s="76">
        <f t="shared" si="0"/>
        <v>0</v>
      </c>
    </row>
    <row r="46" spans="1:7" x14ac:dyDescent="0.35">
      <c r="A46" s="1006"/>
      <c r="B46" s="1007"/>
      <c r="C46" s="1008"/>
      <c r="D46" s="77" t="s">
        <v>149</v>
      </c>
      <c r="E46" s="75"/>
      <c r="F46" s="75"/>
      <c r="G46" s="76">
        <f t="shared" si="0"/>
        <v>0</v>
      </c>
    </row>
    <row r="47" spans="1:7" ht="28.5" customHeight="1" x14ac:dyDescent="0.35">
      <c r="A47" s="78">
        <v>10</v>
      </c>
      <c r="B47" s="79" t="s">
        <v>160</v>
      </c>
      <c r="C47" s="79" t="s">
        <v>161</v>
      </c>
      <c r="D47" s="77" t="s">
        <v>149</v>
      </c>
      <c r="E47" s="75">
        <v>2.5</v>
      </c>
      <c r="F47" s="75">
        <v>8</v>
      </c>
      <c r="G47" s="76">
        <f t="shared" si="0"/>
        <v>20</v>
      </c>
    </row>
    <row r="48" spans="1:7" ht="38.25" customHeight="1" x14ac:dyDescent="0.35">
      <c r="A48" s="78">
        <v>11</v>
      </c>
      <c r="B48" s="79" t="s">
        <v>162</v>
      </c>
      <c r="C48" s="79" t="s">
        <v>163</v>
      </c>
      <c r="D48" s="77" t="s">
        <v>149</v>
      </c>
      <c r="E48" s="75">
        <v>2.2999999999999998</v>
      </c>
      <c r="F48" s="75">
        <v>49</v>
      </c>
      <c r="G48" s="76">
        <f t="shared" si="0"/>
        <v>112.69999999999999</v>
      </c>
    </row>
    <row r="49" spans="1:7" ht="29.25" customHeight="1" x14ac:dyDescent="0.35">
      <c r="A49" s="78">
        <v>12</v>
      </c>
      <c r="B49" s="79" t="s">
        <v>164</v>
      </c>
      <c r="C49" s="79" t="s">
        <v>163</v>
      </c>
      <c r="D49" s="77" t="s">
        <v>149</v>
      </c>
      <c r="E49" s="75">
        <v>3</v>
      </c>
      <c r="F49" s="75">
        <v>28</v>
      </c>
      <c r="G49" s="76">
        <f t="shared" si="0"/>
        <v>84</v>
      </c>
    </row>
    <row r="50" spans="1:7" ht="30" customHeight="1" x14ac:dyDescent="0.35">
      <c r="A50" s="78">
        <v>13</v>
      </c>
      <c r="B50" s="79" t="s">
        <v>165</v>
      </c>
      <c r="C50" s="79" t="s">
        <v>166</v>
      </c>
      <c r="D50" s="74">
        <v>35</v>
      </c>
      <c r="E50" s="75"/>
      <c r="F50" s="75"/>
      <c r="G50" s="76">
        <f t="shared" si="0"/>
        <v>0</v>
      </c>
    </row>
    <row r="51" spans="1:7" x14ac:dyDescent="0.35">
      <c r="A51" s="995" t="s">
        <v>167</v>
      </c>
      <c r="B51" s="1010" t="s">
        <v>95</v>
      </c>
      <c r="C51" s="1012"/>
      <c r="D51" s="74" t="s">
        <v>168</v>
      </c>
      <c r="E51" s="80"/>
      <c r="F51" s="80"/>
      <c r="G51" s="81">
        <f>G39+G38+G33+G32+G29+G28+G21+G20+G14+G13+G44</f>
        <v>0</v>
      </c>
    </row>
    <row r="52" spans="1:7" x14ac:dyDescent="0.35">
      <c r="A52" s="995"/>
      <c r="B52" s="1010"/>
      <c r="C52" s="1012"/>
      <c r="D52" s="74" t="s">
        <v>169</v>
      </c>
      <c r="E52" s="80"/>
      <c r="F52" s="80"/>
      <c r="G52" s="81">
        <v>0</v>
      </c>
    </row>
    <row r="53" spans="1:7" x14ac:dyDescent="0.35">
      <c r="A53" s="995"/>
      <c r="B53" s="1010"/>
      <c r="C53" s="1012"/>
      <c r="D53" s="74" t="s">
        <v>170</v>
      </c>
      <c r="E53" s="80"/>
      <c r="F53" s="80"/>
      <c r="G53" s="81">
        <v>1218.4000000000001</v>
      </c>
    </row>
    <row r="54" spans="1:7" ht="15" thickBot="1" x14ac:dyDescent="0.4">
      <c r="A54" s="1009"/>
      <c r="B54" s="1011"/>
      <c r="C54" s="1013"/>
      <c r="D54" s="82" t="s">
        <v>171</v>
      </c>
      <c r="E54" s="83"/>
      <c r="F54" s="83"/>
      <c r="G54" s="84">
        <f>SUM(G9:G50) - G51-G52-G53</f>
        <v>0</v>
      </c>
    </row>
    <row r="56" spans="1:7" x14ac:dyDescent="0.35">
      <c r="B56" s="85" t="s">
        <v>927</v>
      </c>
    </row>
  </sheetData>
  <protectedRanges>
    <protectedRange sqref="E9:F54" name="Диапазон1"/>
  </protectedRanges>
  <mergeCells count="27"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H49" sqref="A1:H49"/>
    </sheetView>
  </sheetViews>
  <sheetFormatPr defaultRowHeight="13" x14ac:dyDescent="0.3"/>
  <cols>
    <col min="1" max="1" width="7" style="49" customWidth="1"/>
    <col min="2" max="2" width="9.54296875" style="49" customWidth="1"/>
    <col min="3" max="3" width="8" style="49" customWidth="1"/>
    <col min="4" max="4" width="8.81640625" style="49" customWidth="1"/>
    <col min="5" max="5" width="20.7265625" style="49" customWidth="1"/>
    <col min="6" max="6" width="10.1796875" style="49" customWidth="1"/>
    <col min="7" max="7" width="11.54296875" style="49" customWidth="1"/>
    <col min="8" max="16384" width="8.7265625" style="49"/>
  </cols>
  <sheetData>
    <row r="1" spans="1:8" x14ac:dyDescent="0.3">
      <c r="A1" s="550"/>
      <c r="B1" s="551" t="s">
        <v>238</v>
      </c>
      <c r="C1" s="550"/>
      <c r="D1" s="550"/>
      <c r="E1" s="550" t="s">
        <v>931</v>
      </c>
      <c r="F1" s="550"/>
      <c r="G1" s="550" t="s">
        <v>206</v>
      </c>
      <c r="H1" s="550"/>
    </row>
    <row r="2" spans="1:8" x14ac:dyDescent="0.3">
      <c r="A2" s="997" t="s">
        <v>203</v>
      </c>
      <c r="B2" s="997"/>
      <c r="C2" s="997"/>
      <c r="D2" s="997"/>
      <c r="E2" s="997"/>
      <c r="F2" s="997"/>
      <c r="G2" s="997"/>
      <c r="H2" s="997"/>
    </row>
    <row r="3" spans="1:8" x14ac:dyDescent="0.3">
      <c r="A3" s="997"/>
      <c r="B3" s="997"/>
      <c r="C3" s="997"/>
      <c r="D3" s="997"/>
      <c r="E3" s="997"/>
      <c r="F3" s="997"/>
      <c r="G3" s="997"/>
      <c r="H3" s="997"/>
    </row>
    <row r="4" spans="1:8" x14ac:dyDescent="0.3">
      <c r="A4" s="997"/>
      <c r="B4" s="997"/>
      <c r="C4" s="997"/>
      <c r="D4" s="997"/>
      <c r="E4" s="997"/>
      <c r="F4" s="997"/>
      <c r="G4" s="997"/>
      <c r="H4" s="997"/>
    </row>
    <row r="5" spans="1:8" ht="17.5" customHeight="1" thickBot="1" x14ac:dyDescent="0.35">
      <c r="A5" s="998"/>
      <c r="B5" s="998"/>
      <c r="C5" s="998"/>
      <c r="D5" s="998"/>
      <c r="E5" s="998"/>
      <c r="F5" s="998"/>
      <c r="G5" s="998"/>
      <c r="H5" s="998"/>
    </row>
    <row r="6" spans="1:8" ht="83" customHeight="1" x14ac:dyDescent="0.3">
      <c r="A6" s="1016" t="s">
        <v>172</v>
      </c>
      <c r="B6" s="1018" t="s">
        <v>132</v>
      </c>
      <c r="C6" s="552"/>
      <c r="D6" s="1018" t="s">
        <v>173</v>
      </c>
      <c r="E6" s="1018" t="s">
        <v>174</v>
      </c>
      <c r="F6" s="553" t="s">
        <v>175</v>
      </c>
      <c r="G6" s="553" t="s">
        <v>176</v>
      </c>
      <c r="H6" s="554" t="s">
        <v>135</v>
      </c>
    </row>
    <row r="7" spans="1:8" ht="11.5" customHeight="1" x14ac:dyDescent="0.3">
      <c r="A7" s="1017"/>
      <c r="B7" s="1019"/>
      <c r="C7" s="555"/>
      <c r="D7" s="1019"/>
      <c r="E7" s="1019"/>
      <c r="F7" s="556" t="s">
        <v>177</v>
      </c>
      <c r="G7" s="556" t="s">
        <v>45</v>
      </c>
      <c r="H7" s="557" t="s">
        <v>138</v>
      </c>
    </row>
    <row r="8" spans="1:8" x14ac:dyDescent="0.3">
      <c r="A8" s="558"/>
      <c r="B8" s="556"/>
      <c r="C8" s="555"/>
      <c r="D8" s="556"/>
      <c r="E8" s="556"/>
      <c r="F8" s="556" t="s">
        <v>139</v>
      </c>
      <c r="G8" s="556" t="s">
        <v>140</v>
      </c>
      <c r="H8" s="557" t="s">
        <v>141</v>
      </c>
    </row>
    <row r="9" spans="1:8" ht="25" x14ac:dyDescent="0.3">
      <c r="A9" s="559">
        <v>1</v>
      </c>
      <c r="B9" s="556">
        <f>+A9+1</f>
        <v>2</v>
      </c>
      <c r="C9" s="555"/>
      <c r="D9" s="556">
        <f>+B9+1</f>
        <v>3</v>
      </c>
      <c r="E9" s="556">
        <f>+D9+1</f>
        <v>4</v>
      </c>
      <c r="F9" s="556">
        <f>+E9+1</f>
        <v>5</v>
      </c>
      <c r="G9" s="556">
        <f>+F9+1</f>
        <v>6</v>
      </c>
      <c r="H9" s="557" t="s">
        <v>178</v>
      </c>
    </row>
    <row r="10" spans="1:8" x14ac:dyDescent="0.3">
      <c r="A10" s="1014" t="s">
        <v>179</v>
      </c>
      <c r="B10" s="560">
        <v>1150</v>
      </c>
      <c r="C10" s="560">
        <v>1150</v>
      </c>
      <c r="D10" s="560" t="s">
        <v>180</v>
      </c>
      <c r="E10" s="560" t="s">
        <v>181</v>
      </c>
      <c r="F10" s="561"/>
      <c r="G10" s="561"/>
      <c r="H10" s="562">
        <f t="shared" ref="H10:H29" si="0">F10*G10/100</f>
        <v>0</v>
      </c>
    </row>
    <row r="11" spans="1:8" x14ac:dyDescent="0.3">
      <c r="A11" s="1014"/>
      <c r="B11" s="560">
        <v>750</v>
      </c>
      <c r="C11" s="560">
        <v>750</v>
      </c>
      <c r="D11" s="560">
        <v>1</v>
      </c>
      <c r="E11" s="560" t="s">
        <v>181</v>
      </c>
      <c r="F11" s="561"/>
      <c r="G11" s="561"/>
      <c r="H11" s="562">
        <f t="shared" si="0"/>
        <v>0</v>
      </c>
    </row>
    <row r="12" spans="1:8" x14ac:dyDescent="0.3">
      <c r="A12" s="1014"/>
      <c r="B12" s="1015" t="s">
        <v>145</v>
      </c>
      <c r="C12" s="560" t="s">
        <v>182</v>
      </c>
      <c r="D12" s="1015">
        <v>1</v>
      </c>
      <c r="E12" s="560" t="s">
        <v>181</v>
      </c>
      <c r="F12" s="561"/>
      <c r="G12" s="561"/>
      <c r="H12" s="562">
        <f t="shared" si="0"/>
        <v>0</v>
      </c>
    </row>
    <row r="13" spans="1:8" x14ac:dyDescent="0.3">
      <c r="A13" s="1014"/>
      <c r="B13" s="1015"/>
      <c r="C13" s="560" t="s">
        <v>182</v>
      </c>
      <c r="D13" s="1015"/>
      <c r="E13" s="560" t="s">
        <v>183</v>
      </c>
      <c r="F13" s="561"/>
      <c r="G13" s="561"/>
      <c r="H13" s="562">
        <f t="shared" si="0"/>
        <v>0</v>
      </c>
    </row>
    <row r="14" spans="1:8" x14ac:dyDescent="0.3">
      <c r="A14" s="1014"/>
      <c r="B14" s="1015">
        <v>330</v>
      </c>
      <c r="C14" s="560">
        <v>330</v>
      </c>
      <c r="D14" s="1015">
        <v>1</v>
      </c>
      <c r="E14" s="560" t="s">
        <v>181</v>
      </c>
      <c r="F14" s="561"/>
      <c r="G14" s="561"/>
      <c r="H14" s="562">
        <f t="shared" si="0"/>
        <v>0</v>
      </c>
    </row>
    <row r="15" spans="1:8" x14ac:dyDescent="0.3">
      <c r="A15" s="1014"/>
      <c r="B15" s="1015"/>
      <c r="C15" s="560">
        <v>330</v>
      </c>
      <c r="D15" s="1015"/>
      <c r="E15" s="560" t="s">
        <v>183</v>
      </c>
      <c r="F15" s="561"/>
      <c r="G15" s="561"/>
      <c r="H15" s="562">
        <f t="shared" si="0"/>
        <v>0</v>
      </c>
    </row>
    <row r="16" spans="1:8" x14ac:dyDescent="0.3">
      <c r="A16" s="1014"/>
      <c r="B16" s="1015"/>
      <c r="C16" s="560">
        <v>330</v>
      </c>
      <c r="D16" s="1015">
        <v>2</v>
      </c>
      <c r="E16" s="560" t="s">
        <v>181</v>
      </c>
      <c r="F16" s="561"/>
      <c r="G16" s="561"/>
      <c r="H16" s="562">
        <f t="shared" si="0"/>
        <v>0</v>
      </c>
    </row>
    <row r="17" spans="1:8" x14ac:dyDescent="0.3">
      <c r="A17" s="1014"/>
      <c r="B17" s="1015"/>
      <c r="C17" s="560">
        <v>330</v>
      </c>
      <c r="D17" s="1015"/>
      <c r="E17" s="560" t="s">
        <v>183</v>
      </c>
      <c r="F17" s="561"/>
      <c r="G17" s="561"/>
      <c r="H17" s="562">
        <f t="shared" si="0"/>
        <v>0</v>
      </c>
    </row>
    <row r="18" spans="1:8" x14ac:dyDescent="0.3">
      <c r="A18" s="1014"/>
      <c r="B18" s="1015">
        <v>220</v>
      </c>
      <c r="C18" s="560">
        <v>220</v>
      </c>
      <c r="D18" s="1015">
        <v>1</v>
      </c>
      <c r="E18" s="560" t="s">
        <v>184</v>
      </c>
      <c r="F18" s="561"/>
      <c r="G18" s="561"/>
      <c r="H18" s="562">
        <f t="shared" si="0"/>
        <v>0</v>
      </c>
    </row>
    <row r="19" spans="1:8" x14ac:dyDescent="0.3">
      <c r="A19" s="1014"/>
      <c r="B19" s="1015"/>
      <c r="C19" s="560">
        <v>220</v>
      </c>
      <c r="D19" s="1015"/>
      <c r="E19" s="560" t="s">
        <v>181</v>
      </c>
      <c r="F19" s="561"/>
      <c r="G19" s="561"/>
      <c r="H19" s="562">
        <f t="shared" si="0"/>
        <v>0</v>
      </c>
    </row>
    <row r="20" spans="1:8" x14ac:dyDescent="0.3">
      <c r="A20" s="1014"/>
      <c r="B20" s="1015"/>
      <c r="C20" s="560">
        <v>220</v>
      </c>
      <c r="D20" s="1015"/>
      <c r="E20" s="560" t="s">
        <v>183</v>
      </c>
      <c r="F20" s="561"/>
      <c r="G20" s="561"/>
      <c r="H20" s="562">
        <f t="shared" si="0"/>
        <v>0</v>
      </c>
    </row>
    <row r="21" spans="1:8" x14ac:dyDescent="0.3">
      <c r="A21" s="1014"/>
      <c r="B21" s="1015"/>
      <c r="C21" s="560">
        <v>220</v>
      </c>
      <c r="D21" s="1015">
        <v>2</v>
      </c>
      <c r="E21" s="560" t="s">
        <v>181</v>
      </c>
      <c r="F21" s="561"/>
      <c r="G21" s="561"/>
      <c r="H21" s="562">
        <f t="shared" si="0"/>
        <v>0</v>
      </c>
    </row>
    <row r="22" spans="1:8" x14ac:dyDescent="0.3">
      <c r="A22" s="1014"/>
      <c r="B22" s="1015"/>
      <c r="C22" s="560">
        <v>220</v>
      </c>
      <c r="D22" s="1015"/>
      <c r="E22" s="560" t="s">
        <v>183</v>
      </c>
      <c r="F22" s="561"/>
      <c r="G22" s="561"/>
      <c r="H22" s="562">
        <f t="shared" si="0"/>
        <v>0</v>
      </c>
    </row>
    <row r="23" spans="1:8" x14ac:dyDescent="0.3">
      <c r="A23" s="1014"/>
      <c r="B23" s="1015" t="s">
        <v>146</v>
      </c>
      <c r="C23" s="560" t="s">
        <v>185</v>
      </c>
      <c r="D23" s="1015">
        <v>1</v>
      </c>
      <c r="E23" s="560" t="s">
        <v>184</v>
      </c>
      <c r="F23" s="561"/>
      <c r="G23" s="561"/>
      <c r="H23" s="562">
        <f t="shared" si="0"/>
        <v>0</v>
      </c>
    </row>
    <row r="24" spans="1:8" x14ac:dyDescent="0.3">
      <c r="A24" s="1014"/>
      <c r="B24" s="1015"/>
      <c r="C24" s="560" t="s">
        <v>185</v>
      </c>
      <c r="D24" s="1015"/>
      <c r="E24" s="560" t="s">
        <v>181</v>
      </c>
      <c r="F24" s="561"/>
      <c r="G24" s="561"/>
      <c r="H24" s="562">
        <f t="shared" si="0"/>
        <v>0</v>
      </c>
    </row>
    <row r="25" spans="1:8" x14ac:dyDescent="0.3">
      <c r="A25" s="1014"/>
      <c r="B25" s="1015"/>
      <c r="C25" s="560" t="s">
        <v>185</v>
      </c>
      <c r="D25" s="1015"/>
      <c r="E25" s="560" t="s">
        <v>183</v>
      </c>
      <c r="F25" s="561"/>
      <c r="G25" s="561"/>
      <c r="H25" s="562">
        <f t="shared" si="0"/>
        <v>0</v>
      </c>
    </row>
    <row r="26" spans="1:8" x14ac:dyDescent="0.3">
      <c r="A26" s="1014"/>
      <c r="B26" s="1015"/>
      <c r="C26" s="560" t="s">
        <v>185</v>
      </c>
      <c r="D26" s="1015">
        <v>2</v>
      </c>
      <c r="E26" s="560" t="s">
        <v>181</v>
      </c>
      <c r="F26" s="561"/>
      <c r="G26" s="561"/>
      <c r="H26" s="562">
        <f t="shared" si="0"/>
        <v>0</v>
      </c>
    </row>
    <row r="27" spans="1:8" x14ac:dyDescent="0.3">
      <c r="A27" s="1014"/>
      <c r="B27" s="1015"/>
      <c r="C27" s="560" t="s">
        <v>185</v>
      </c>
      <c r="D27" s="1015"/>
      <c r="E27" s="560" t="s">
        <v>183</v>
      </c>
      <c r="F27" s="561"/>
      <c r="G27" s="561"/>
      <c r="H27" s="562">
        <f t="shared" si="0"/>
        <v>0</v>
      </c>
    </row>
    <row r="28" spans="1:8" x14ac:dyDescent="0.3">
      <c r="A28" s="1014" t="s">
        <v>186</v>
      </c>
      <c r="B28" s="560">
        <v>220</v>
      </c>
      <c r="C28" s="560">
        <v>220</v>
      </c>
      <c r="D28" s="560" t="s">
        <v>180</v>
      </c>
      <c r="E28" s="560" t="s">
        <v>180</v>
      </c>
      <c r="F28" s="561"/>
      <c r="G28" s="561"/>
      <c r="H28" s="562">
        <f t="shared" si="0"/>
        <v>0</v>
      </c>
    </row>
    <row r="29" spans="1:8" x14ac:dyDescent="0.3">
      <c r="A29" s="1014"/>
      <c r="B29" s="560">
        <v>110</v>
      </c>
      <c r="C29" s="560">
        <v>110</v>
      </c>
      <c r="D29" s="560" t="s">
        <v>180</v>
      </c>
      <c r="E29" s="560" t="s">
        <v>180</v>
      </c>
      <c r="F29" s="561"/>
      <c r="G29" s="561"/>
      <c r="H29" s="562">
        <f t="shared" si="0"/>
        <v>0</v>
      </c>
    </row>
    <row r="30" spans="1:8" x14ac:dyDescent="0.3">
      <c r="A30" s="563" t="s">
        <v>187</v>
      </c>
      <c r="B30" s="560"/>
      <c r="C30" s="560"/>
      <c r="D30" s="560"/>
      <c r="E30" s="560"/>
      <c r="F30" s="564"/>
      <c r="G30" s="564"/>
      <c r="H30" s="565">
        <f>SUM(H18:H29)</f>
        <v>0</v>
      </c>
    </row>
    <row r="31" spans="1:8" x14ac:dyDescent="0.3">
      <c r="A31" s="1014" t="s">
        <v>179</v>
      </c>
      <c r="B31" s="1015">
        <v>35</v>
      </c>
      <c r="C31" s="560">
        <v>35</v>
      </c>
      <c r="D31" s="1015">
        <v>1</v>
      </c>
      <c r="E31" s="560" t="s">
        <v>184</v>
      </c>
      <c r="F31" s="566"/>
      <c r="G31" s="566"/>
      <c r="H31" s="562">
        <f t="shared" ref="H31:H39" si="1">F31*G31/100</f>
        <v>0</v>
      </c>
    </row>
    <row r="32" spans="1:8" x14ac:dyDescent="0.3">
      <c r="A32" s="1014"/>
      <c r="B32" s="1015"/>
      <c r="C32" s="560">
        <v>35</v>
      </c>
      <c r="D32" s="1015"/>
      <c r="E32" s="560" t="s">
        <v>181</v>
      </c>
      <c r="F32" s="566"/>
      <c r="G32" s="566"/>
      <c r="H32" s="562">
        <f t="shared" si="1"/>
        <v>0</v>
      </c>
    </row>
    <row r="33" spans="1:8" x14ac:dyDescent="0.3">
      <c r="A33" s="1014"/>
      <c r="B33" s="1015"/>
      <c r="C33" s="560">
        <v>35</v>
      </c>
      <c r="D33" s="1015"/>
      <c r="E33" s="560" t="s">
        <v>183</v>
      </c>
      <c r="F33" s="566"/>
      <c r="G33" s="566"/>
      <c r="H33" s="562">
        <f t="shared" si="1"/>
        <v>0</v>
      </c>
    </row>
    <row r="34" spans="1:8" x14ac:dyDescent="0.3">
      <c r="A34" s="1014"/>
      <c r="B34" s="1015"/>
      <c r="C34" s="560">
        <v>35</v>
      </c>
      <c r="D34" s="1015">
        <v>2</v>
      </c>
      <c r="E34" s="560" t="s">
        <v>181</v>
      </c>
      <c r="F34" s="566">
        <v>140</v>
      </c>
      <c r="G34" s="566">
        <v>16.309999999999999</v>
      </c>
      <c r="H34" s="562">
        <v>22.83</v>
      </c>
    </row>
    <row r="35" spans="1:8" x14ac:dyDescent="0.3">
      <c r="A35" s="1014"/>
      <c r="B35" s="1015"/>
      <c r="C35" s="560">
        <v>35</v>
      </c>
      <c r="D35" s="1015"/>
      <c r="E35" s="560" t="s">
        <v>183</v>
      </c>
      <c r="F35" s="566">
        <v>120</v>
      </c>
      <c r="G35" s="566">
        <v>24.37</v>
      </c>
      <c r="H35" s="562">
        <v>29.25</v>
      </c>
    </row>
    <row r="36" spans="1:8" x14ac:dyDescent="0.3">
      <c r="A36" s="1014"/>
      <c r="B36" s="1015" t="s">
        <v>188</v>
      </c>
      <c r="C36" s="560" t="s">
        <v>189</v>
      </c>
      <c r="D36" s="1015" t="s">
        <v>180</v>
      </c>
      <c r="E36" s="560" t="s">
        <v>184</v>
      </c>
      <c r="F36" s="566">
        <v>160</v>
      </c>
      <c r="G36" s="567">
        <v>2.1800000000000002</v>
      </c>
      <c r="H36" s="562">
        <v>3.49</v>
      </c>
    </row>
    <row r="37" spans="1:8" x14ac:dyDescent="0.3">
      <c r="A37" s="1014"/>
      <c r="B37" s="1015"/>
      <c r="C37" s="560" t="s">
        <v>189</v>
      </c>
      <c r="D37" s="1015"/>
      <c r="E37" s="560" t="s">
        <v>190</v>
      </c>
      <c r="F37" s="566">
        <v>140</v>
      </c>
      <c r="G37" s="566">
        <v>41.6</v>
      </c>
      <c r="H37" s="562">
        <v>58.23</v>
      </c>
    </row>
    <row r="38" spans="1:8" x14ac:dyDescent="0.3">
      <c r="A38" s="1014"/>
      <c r="B38" s="1015"/>
      <c r="C38" s="560" t="s">
        <v>189</v>
      </c>
      <c r="D38" s="1015"/>
      <c r="E38" s="560" t="s">
        <v>191</v>
      </c>
      <c r="F38" s="566">
        <v>110</v>
      </c>
      <c r="G38" s="566">
        <v>1.05</v>
      </c>
      <c r="H38" s="562">
        <v>1.1499999999999999</v>
      </c>
    </row>
    <row r="39" spans="1:8" x14ac:dyDescent="0.3">
      <c r="A39" s="1014" t="s">
        <v>186</v>
      </c>
      <c r="B39" s="560" t="s">
        <v>192</v>
      </c>
      <c r="C39" s="560" t="s">
        <v>193</v>
      </c>
      <c r="D39" s="560" t="s">
        <v>180</v>
      </c>
      <c r="E39" s="560" t="s">
        <v>180</v>
      </c>
      <c r="F39" s="566"/>
      <c r="G39" s="566"/>
      <c r="H39" s="562">
        <f t="shared" si="1"/>
        <v>0</v>
      </c>
    </row>
    <row r="40" spans="1:8" x14ac:dyDescent="0.3">
      <c r="A40" s="1014"/>
      <c r="B40" s="560" t="s">
        <v>194</v>
      </c>
      <c r="C40" s="560" t="s">
        <v>195</v>
      </c>
      <c r="D40" s="560" t="s">
        <v>180</v>
      </c>
      <c r="E40" s="560" t="s">
        <v>180</v>
      </c>
      <c r="F40" s="566">
        <v>350</v>
      </c>
      <c r="G40" s="567">
        <v>16.87</v>
      </c>
      <c r="H40" s="562">
        <v>59.08</v>
      </c>
    </row>
    <row r="41" spans="1:8" x14ac:dyDescent="0.3">
      <c r="A41" s="563" t="s">
        <v>196</v>
      </c>
      <c r="B41" s="560"/>
      <c r="C41" s="560"/>
      <c r="D41" s="560"/>
      <c r="E41" s="560"/>
      <c r="F41" s="564"/>
      <c r="G41" s="564"/>
      <c r="H41" s="565">
        <f>SUM(H34:H40)</f>
        <v>174.03</v>
      </c>
    </row>
    <row r="42" spans="1:8" x14ac:dyDescent="0.3">
      <c r="A42" s="563" t="s">
        <v>197</v>
      </c>
      <c r="B42" s="560"/>
      <c r="C42" s="560"/>
      <c r="D42" s="560"/>
      <c r="E42" s="560"/>
      <c r="F42" s="564"/>
      <c r="G42" s="564"/>
      <c r="H42" s="568"/>
    </row>
    <row r="43" spans="1:8" x14ac:dyDescent="0.3">
      <c r="A43" s="1014" t="s">
        <v>179</v>
      </c>
      <c r="B43" s="1015" t="s">
        <v>198</v>
      </c>
      <c r="C43" s="560" t="s">
        <v>199</v>
      </c>
      <c r="D43" s="1015" t="s">
        <v>180</v>
      </c>
      <c r="E43" s="560" t="s">
        <v>184</v>
      </c>
      <c r="F43" s="566">
        <v>260</v>
      </c>
      <c r="G43" s="567">
        <v>6.18</v>
      </c>
      <c r="H43" s="562">
        <v>17.84</v>
      </c>
    </row>
    <row r="44" spans="1:8" x14ac:dyDescent="0.3">
      <c r="A44" s="1014"/>
      <c r="B44" s="1015"/>
      <c r="C44" s="560" t="s">
        <v>199</v>
      </c>
      <c r="D44" s="1015"/>
      <c r="E44" s="560" t="s">
        <v>190</v>
      </c>
      <c r="F44" s="566">
        <v>220</v>
      </c>
      <c r="G44" s="566">
        <v>87.65</v>
      </c>
      <c r="H44" s="562">
        <v>192.83</v>
      </c>
    </row>
    <row r="45" spans="1:8" x14ac:dyDescent="0.3">
      <c r="A45" s="1014"/>
      <c r="B45" s="1015"/>
      <c r="C45" s="560" t="s">
        <v>199</v>
      </c>
      <c r="D45" s="1015"/>
      <c r="E45" s="560" t="s">
        <v>191</v>
      </c>
      <c r="F45" s="566">
        <v>150</v>
      </c>
      <c r="G45" s="566">
        <v>3.91</v>
      </c>
      <c r="H45" s="562">
        <v>6.15</v>
      </c>
    </row>
    <row r="46" spans="1:8" x14ac:dyDescent="0.3">
      <c r="A46" s="563" t="s">
        <v>186</v>
      </c>
      <c r="B46" s="560" t="s">
        <v>200</v>
      </c>
      <c r="C46" s="560" t="s">
        <v>201</v>
      </c>
      <c r="D46" s="560" t="s">
        <v>180</v>
      </c>
      <c r="E46" s="560" t="s">
        <v>180</v>
      </c>
      <c r="F46" s="566">
        <v>270</v>
      </c>
      <c r="G46" s="567">
        <v>19.04</v>
      </c>
      <c r="H46" s="562">
        <v>51.95</v>
      </c>
    </row>
    <row r="47" spans="1:8" ht="13.5" thickBot="1" x14ac:dyDescent="0.35">
      <c r="A47" s="569" t="s">
        <v>202</v>
      </c>
      <c r="B47" s="570"/>
      <c r="C47" s="570"/>
      <c r="D47" s="570"/>
      <c r="E47" s="570"/>
      <c r="F47" s="571"/>
      <c r="G47" s="571"/>
      <c r="H47" s="572">
        <f>SUM(H43:H46)</f>
        <v>268.77000000000004</v>
      </c>
    </row>
    <row r="49" spans="2:7" x14ac:dyDescent="0.3">
      <c r="B49" s="573" t="s">
        <v>927</v>
      </c>
      <c r="C49" s="573"/>
      <c r="D49" s="573"/>
      <c r="E49" s="573"/>
      <c r="F49" s="573"/>
      <c r="G49" s="573"/>
    </row>
  </sheetData>
  <protectedRanges>
    <protectedRange sqref="F10:G47" name="Диапазон1"/>
  </protectedRanges>
  <mergeCells count="28"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  <mergeCell ref="A2:H5"/>
    <mergeCell ref="A6:A7"/>
    <mergeCell ref="B6:B7"/>
    <mergeCell ref="D6:D7"/>
    <mergeCell ref="E6:E7"/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31" sqref="A1:G31"/>
    </sheetView>
  </sheetViews>
  <sheetFormatPr defaultRowHeight="14.5" x14ac:dyDescent="0.35"/>
  <cols>
    <col min="1" max="1" width="4.1796875" style="44" customWidth="1"/>
    <col min="2" max="2" width="35.26953125" style="44" customWidth="1"/>
    <col min="3" max="16384" width="8.7265625" style="44"/>
  </cols>
  <sheetData>
    <row r="1" spans="1:7" ht="15" customHeight="1" x14ac:dyDescent="0.35"/>
    <row r="2" spans="1:7" x14ac:dyDescent="0.35">
      <c r="B2" s="1020" t="s">
        <v>218</v>
      </c>
      <c r="C2" s="1020"/>
      <c r="D2" s="1020"/>
      <c r="E2" s="1020"/>
      <c r="F2" s="1020"/>
      <c r="G2" s="1020"/>
    </row>
    <row r="3" spans="1:7" x14ac:dyDescent="0.35">
      <c r="B3" s="1020" t="s">
        <v>238</v>
      </c>
      <c r="C3" s="1020"/>
      <c r="D3" s="1020"/>
      <c r="E3" s="1020"/>
      <c r="F3" s="1020"/>
      <c r="G3" s="1020"/>
    </row>
    <row r="4" spans="1:7" ht="15" thickBot="1" x14ac:dyDescent="0.4">
      <c r="F4" s="44" t="s">
        <v>1387</v>
      </c>
    </row>
    <row r="5" spans="1:7" ht="15" thickTop="1" x14ac:dyDescent="0.35">
      <c r="A5" s="1021" t="s">
        <v>208</v>
      </c>
      <c r="B5" s="1023" t="s">
        <v>209</v>
      </c>
      <c r="C5" s="1025" t="s">
        <v>931</v>
      </c>
      <c r="D5" s="1026"/>
      <c r="E5" s="1026"/>
      <c r="F5" s="1026"/>
      <c r="G5" s="1027"/>
    </row>
    <row r="6" spans="1:7" x14ac:dyDescent="0.35">
      <c r="A6" s="1022"/>
      <c r="B6" s="1024"/>
      <c r="C6" s="624" t="s">
        <v>210</v>
      </c>
      <c r="D6" s="624" t="s">
        <v>168</v>
      </c>
      <c r="E6" s="624" t="s">
        <v>211</v>
      </c>
      <c r="F6" s="624" t="s">
        <v>212</v>
      </c>
      <c r="G6" s="624" t="s">
        <v>171</v>
      </c>
    </row>
    <row r="7" spans="1:7" x14ac:dyDescent="0.35">
      <c r="A7" s="629">
        <v>1</v>
      </c>
      <c r="B7" s="295">
        <v>2</v>
      </c>
      <c r="C7" s="294">
        <v>3</v>
      </c>
      <c r="D7" s="295">
        <v>4</v>
      </c>
      <c r="E7" s="294">
        <v>5</v>
      </c>
      <c r="F7" s="295">
        <v>6</v>
      </c>
      <c r="G7" s="294">
        <v>7</v>
      </c>
    </row>
    <row r="8" spans="1:7" x14ac:dyDescent="0.35">
      <c r="A8" s="630" t="s">
        <v>30</v>
      </c>
      <c r="B8" s="631" t="s">
        <v>219</v>
      </c>
      <c r="C8" s="632">
        <f>C16+C17</f>
        <v>92.48</v>
      </c>
      <c r="D8" s="633">
        <f>D16</f>
        <v>18.62</v>
      </c>
      <c r="E8" s="633">
        <f>E17+E11</f>
        <v>56.46</v>
      </c>
      <c r="F8" s="633">
        <f>F9+F17</f>
        <v>91.94</v>
      </c>
      <c r="G8" s="634">
        <f>G9+G17</f>
        <v>39.9</v>
      </c>
    </row>
    <row r="9" spans="1:7" x14ac:dyDescent="0.35">
      <c r="A9" s="630" t="s">
        <v>216</v>
      </c>
      <c r="B9" s="631" t="s">
        <v>214</v>
      </c>
      <c r="C9" s="633"/>
      <c r="D9" s="633"/>
      <c r="E9" s="633"/>
      <c r="F9" s="633">
        <f>F11+F12+F13+F14</f>
        <v>75.08</v>
      </c>
      <c r="G9" s="634">
        <f>G13</f>
        <v>39.36</v>
      </c>
    </row>
    <row r="10" spans="1:7" x14ac:dyDescent="0.35">
      <c r="A10" s="630"/>
      <c r="B10" s="631" t="s">
        <v>215</v>
      </c>
      <c r="C10" s="633"/>
      <c r="D10" s="633"/>
      <c r="E10" s="633"/>
      <c r="F10" s="633"/>
      <c r="G10" s="634"/>
    </row>
    <row r="11" spans="1:7" x14ac:dyDescent="0.35">
      <c r="A11" s="630"/>
      <c r="B11" s="631" t="s">
        <v>168</v>
      </c>
      <c r="C11" s="633"/>
      <c r="D11" s="633"/>
      <c r="E11" s="633"/>
      <c r="F11" s="633">
        <f>D8-E11</f>
        <v>18.62</v>
      </c>
      <c r="G11" s="634"/>
    </row>
    <row r="12" spans="1:7" x14ac:dyDescent="0.35">
      <c r="A12" s="630"/>
      <c r="B12" s="631" t="s">
        <v>211</v>
      </c>
      <c r="C12" s="633"/>
      <c r="D12" s="633"/>
      <c r="E12" s="633"/>
      <c r="F12" s="633">
        <f>E17</f>
        <v>56.46</v>
      </c>
      <c r="G12" s="634"/>
    </row>
    <row r="13" spans="1:7" x14ac:dyDescent="0.35">
      <c r="A13" s="630"/>
      <c r="B13" s="631" t="s">
        <v>212</v>
      </c>
      <c r="C13" s="633"/>
      <c r="D13" s="633"/>
      <c r="E13" s="633"/>
      <c r="F13" s="633"/>
      <c r="G13" s="634">
        <v>39.36</v>
      </c>
    </row>
    <row r="14" spans="1:7" x14ac:dyDescent="0.35">
      <c r="A14" s="630"/>
      <c r="B14" s="631" t="s">
        <v>171</v>
      </c>
      <c r="C14" s="633"/>
      <c r="D14" s="633"/>
      <c r="E14" s="633"/>
      <c r="F14" s="633"/>
      <c r="G14" s="634"/>
    </row>
    <row r="15" spans="1:7" x14ac:dyDescent="0.35">
      <c r="A15" s="630" t="s">
        <v>217</v>
      </c>
      <c r="B15" s="631" t="s">
        <v>220</v>
      </c>
      <c r="C15" s="633"/>
      <c r="D15" s="633"/>
      <c r="E15" s="633"/>
      <c r="F15" s="633"/>
      <c r="G15" s="634"/>
    </row>
    <row r="16" spans="1:7" ht="26" x14ac:dyDescent="0.35">
      <c r="A16" s="630" t="s">
        <v>221</v>
      </c>
      <c r="B16" s="631" t="s">
        <v>213</v>
      </c>
      <c r="C16" s="632">
        <f>D16+E16+F16+G16</f>
        <v>18.62</v>
      </c>
      <c r="D16" s="633">
        <v>18.62</v>
      </c>
      <c r="E16" s="633"/>
      <c r="F16" s="633"/>
      <c r="G16" s="634"/>
    </row>
    <row r="17" spans="1:7" ht="25" x14ac:dyDescent="0.35">
      <c r="A17" s="630" t="s">
        <v>222</v>
      </c>
      <c r="B17" s="635" t="s">
        <v>223</v>
      </c>
      <c r="C17" s="632">
        <f>D17+E17+F17+G17</f>
        <v>73.86</v>
      </c>
      <c r="D17" s="633"/>
      <c r="E17" s="633">
        <v>56.46</v>
      </c>
      <c r="F17" s="633">
        <v>16.86</v>
      </c>
      <c r="G17" s="634">
        <v>0.54</v>
      </c>
    </row>
    <row r="18" spans="1:7" x14ac:dyDescent="0.35">
      <c r="A18" s="630" t="s">
        <v>32</v>
      </c>
      <c r="B18" s="631" t="s">
        <v>224</v>
      </c>
      <c r="C18" s="633">
        <f>E18+F18+G18</f>
        <v>11.219999999999999</v>
      </c>
      <c r="D18" s="633"/>
      <c r="E18" s="633"/>
      <c r="F18" s="633">
        <v>4.96</v>
      </c>
      <c r="G18" s="634">
        <v>6.26</v>
      </c>
    </row>
    <row r="19" spans="1:7" x14ac:dyDescent="0.35">
      <c r="A19" s="630"/>
      <c r="B19" s="636" t="s">
        <v>225</v>
      </c>
      <c r="C19" s="637">
        <f>C18/C8</f>
        <v>0.12132352941176469</v>
      </c>
      <c r="D19" s="638"/>
      <c r="E19" s="638"/>
      <c r="F19" s="637">
        <f>F18/F8</f>
        <v>5.3948227104633456E-2</v>
      </c>
      <c r="G19" s="639">
        <f>G18/G8</f>
        <v>0.15689223057644111</v>
      </c>
    </row>
    <row r="20" spans="1:7" ht="37.5" x14ac:dyDescent="0.35">
      <c r="A20" s="630" t="s">
        <v>34</v>
      </c>
      <c r="B20" s="640" t="s">
        <v>226</v>
      </c>
      <c r="C20" s="633"/>
      <c r="D20" s="633"/>
      <c r="E20" s="633"/>
      <c r="F20" s="633"/>
      <c r="G20" s="634"/>
    </row>
    <row r="21" spans="1:7" x14ac:dyDescent="0.35">
      <c r="A21" s="630" t="s">
        <v>227</v>
      </c>
      <c r="B21" s="631" t="s">
        <v>228</v>
      </c>
      <c r="C21" s="633">
        <f>E21+F21+G21</f>
        <v>81.259999999999991</v>
      </c>
      <c r="D21" s="633"/>
      <c r="E21" s="633"/>
      <c r="F21" s="633">
        <v>47.62</v>
      </c>
      <c r="G21" s="634">
        <v>33.64</v>
      </c>
    </row>
    <row r="22" spans="1:7" x14ac:dyDescent="0.35">
      <c r="A22" s="630" t="s">
        <v>229</v>
      </c>
      <c r="B22" s="631" t="s">
        <v>230</v>
      </c>
      <c r="C22" s="633"/>
      <c r="D22" s="633"/>
      <c r="E22" s="633"/>
      <c r="F22" s="633"/>
      <c r="G22" s="634"/>
    </row>
    <row r="23" spans="1:7" x14ac:dyDescent="0.35">
      <c r="A23" s="630"/>
      <c r="B23" s="631" t="s">
        <v>231</v>
      </c>
      <c r="C23" s="633"/>
      <c r="D23" s="633"/>
      <c r="E23" s="633"/>
      <c r="F23" s="633"/>
      <c r="G23" s="634"/>
    </row>
    <row r="24" spans="1:7" ht="26" x14ac:dyDescent="0.35">
      <c r="A24" s="630"/>
      <c r="B24" s="631" t="s">
        <v>232</v>
      </c>
      <c r="C24" s="633"/>
      <c r="D24" s="633"/>
      <c r="E24" s="633"/>
      <c r="F24" s="633"/>
      <c r="G24" s="634"/>
    </row>
    <row r="25" spans="1:7" x14ac:dyDescent="0.35">
      <c r="A25" s="630"/>
      <c r="B25" s="631" t="s">
        <v>233</v>
      </c>
      <c r="C25" s="633"/>
      <c r="D25" s="633"/>
      <c r="E25" s="633"/>
      <c r="F25" s="633"/>
      <c r="G25" s="634"/>
    </row>
    <row r="26" spans="1:7" x14ac:dyDescent="0.35">
      <c r="A26" s="630" t="s">
        <v>234</v>
      </c>
      <c r="B26" s="641" t="s">
        <v>235</v>
      </c>
      <c r="C26" s="633"/>
      <c r="D26" s="633"/>
      <c r="E26" s="633"/>
      <c r="F26" s="633"/>
      <c r="G26" s="634"/>
    </row>
    <row r="27" spans="1:7" ht="15" thickBot="1" x14ac:dyDescent="0.4">
      <c r="A27" s="642" t="s">
        <v>236</v>
      </c>
      <c r="B27" s="643" t="s">
        <v>237</v>
      </c>
      <c r="C27" s="644"/>
      <c r="D27" s="644"/>
      <c r="E27" s="644"/>
      <c r="F27" s="644"/>
      <c r="G27" s="645"/>
    </row>
    <row r="28" spans="1:7" ht="15" thickTop="1" x14ac:dyDescent="0.35">
      <c r="A28" s="647"/>
      <c r="B28" s="646"/>
      <c r="C28" s="648"/>
      <c r="D28" s="648"/>
      <c r="E28" s="648"/>
      <c r="F28" s="648"/>
      <c r="G28" s="648"/>
    </row>
    <row r="29" spans="1:7" x14ac:dyDescent="0.35">
      <c r="A29" s="647"/>
      <c r="B29" s="646"/>
      <c r="C29" s="648"/>
      <c r="D29" s="648"/>
      <c r="E29" s="648"/>
      <c r="F29" s="648"/>
      <c r="G29" s="648"/>
    </row>
    <row r="31" spans="1:7" x14ac:dyDescent="0.35">
      <c r="B31" s="646" t="s">
        <v>964</v>
      </c>
      <c r="E31" s="44" t="s">
        <v>1169</v>
      </c>
    </row>
  </sheetData>
  <mergeCells count="5">
    <mergeCell ref="B2:G2"/>
    <mergeCell ref="B3:G3"/>
    <mergeCell ref="A5:A6"/>
    <mergeCell ref="B5:B6"/>
    <mergeCell ref="C5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workbookViewId="0">
      <selection activeCell="C6" sqref="C6"/>
    </sheetView>
  </sheetViews>
  <sheetFormatPr defaultRowHeight="14.5" x14ac:dyDescent="0.35"/>
  <cols>
    <col min="1" max="1" width="26.453125" customWidth="1"/>
    <col min="2" max="2" width="12.453125" customWidth="1"/>
    <col min="3" max="3" width="17.1796875" customWidth="1"/>
    <col min="4" max="4" width="19.1796875" customWidth="1"/>
    <col min="5" max="6" width="12.453125" customWidth="1"/>
  </cols>
  <sheetData>
    <row r="2" spans="1:7" x14ac:dyDescent="0.35">
      <c r="A2" s="44"/>
      <c r="B2" s="44"/>
      <c r="C2" s="44"/>
      <c r="D2" s="44"/>
      <c r="E2" s="44"/>
      <c r="F2" s="44"/>
      <c r="G2" s="44"/>
    </row>
    <row r="3" spans="1:7" x14ac:dyDescent="0.35">
      <c r="A3" s="44"/>
      <c r="B3" s="44"/>
      <c r="C3" s="44"/>
      <c r="D3" s="44"/>
      <c r="E3" s="44"/>
      <c r="F3" s="87" t="s">
        <v>240</v>
      </c>
      <c r="G3" s="87">
        <f>G4</f>
        <v>1661.2</v>
      </c>
    </row>
    <row r="4" spans="1:7" ht="15.5" x14ac:dyDescent="0.35">
      <c r="A4" s="1028" t="s">
        <v>276</v>
      </c>
      <c r="B4" s="1028"/>
      <c r="C4" s="1028"/>
      <c r="D4" s="1028"/>
      <c r="E4" s="1028"/>
      <c r="F4" s="87" t="s">
        <v>241</v>
      </c>
      <c r="G4" s="87">
        <f>G8+G7+G9</f>
        <v>1661.2</v>
      </c>
    </row>
    <row r="5" spans="1:7" ht="15.5" x14ac:dyDescent="0.35">
      <c r="A5" s="1028" t="s">
        <v>295</v>
      </c>
      <c r="B5" s="1028"/>
      <c r="C5" s="1028"/>
      <c r="D5" s="1028"/>
      <c r="E5" s="1028"/>
      <c r="F5" s="87" t="s">
        <v>242</v>
      </c>
      <c r="G5" s="87">
        <f>G7+G9</f>
        <v>1329.43</v>
      </c>
    </row>
    <row r="6" spans="1:7" ht="15.5" x14ac:dyDescent="0.35">
      <c r="A6" s="364"/>
      <c r="B6" s="364"/>
      <c r="C6" s="365" t="s">
        <v>928</v>
      </c>
      <c r="D6" s="44"/>
      <c r="E6" s="44"/>
      <c r="F6" s="87" t="s">
        <v>243</v>
      </c>
      <c r="G6" s="87">
        <v>355.89</v>
      </c>
    </row>
    <row r="7" spans="1:7" x14ac:dyDescent="0.35">
      <c r="A7" s="366" t="s">
        <v>1171</v>
      </c>
      <c r="B7" s="367"/>
      <c r="C7" s="44"/>
      <c r="D7" s="44"/>
      <c r="E7" s="44"/>
      <c r="F7" s="87" t="s">
        <v>244</v>
      </c>
      <c r="G7" s="88">
        <v>111.03</v>
      </c>
    </row>
    <row r="8" spans="1:7" x14ac:dyDescent="0.35">
      <c r="A8" s="89"/>
      <c r="B8" s="89"/>
      <c r="F8" s="87" t="s">
        <v>245</v>
      </c>
      <c r="G8" s="88">
        <v>331.77</v>
      </c>
    </row>
    <row r="9" spans="1:7" x14ac:dyDescent="0.35">
      <c r="A9" s="89"/>
      <c r="B9" s="89"/>
      <c r="F9" s="87" t="s">
        <v>161</v>
      </c>
      <c r="G9" s="88">
        <v>1218.4000000000001</v>
      </c>
    </row>
    <row r="10" spans="1:7" ht="15" thickBot="1" x14ac:dyDescent="0.4">
      <c r="A10" s="89"/>
      <c r="B10" s="89"/>
      <c r="F10" s="87" t="s">
        <v>270</v>
      </c>
      <c r="G10" s="87">
        <f>G9+G8</f>
        <v>1550.17</v>
      </c>
    </row>
    <row r="11" spans="1:7" x14ac:dyDescent="0.35">
      <c r="A11" s="1029" t="s">
        <v>277</v>
      </c>
      <c r="B11" s="1032" t="s">
        <v>247</v>
      </c>
      <c r="C11" s="1035" t="s">
        <v>278</v>
      </c>
      <c r="D11" s="1029" t="s">
        <v>279</v>
      </c>
      <c r="E11" s="1029" t="s">
        <v>280</v>
      </c>
      <c r="F11" s="358"/>
    </row>
    <row r="12" spans="1:7" x14ac:dyDescent="0.35">
      <c r="A12" s="1030"/>
      <c r="B12" s="1033"/>
      <c r="C12" s="1036"/>
      <c r="D12" s="1030"/>
      <c r="E12" s="1030"/>
      <c r="F12" s="358"/>
    </row>
    <row r="13" spans="1:7" ht="21" customHeight="1" thickBot="1" x14ac:dyDescent="0.4">
      <c r="A13" s="1031"/>
      <c r="B13" s="1034"/>
      <c r="C13" s="1037"/>
      <c r="D13" s="1031"/>
      <c r="E13" s="1031"/>
      <c r="F13" s="358"/>
    </row>
    <row r="14" spans="1:7" ht="15" thickBot="1" x14ac:dyDescent="0.4">
      <c r="A14" s="349" t="s">
        <v>248</v>
      </c>
      <c r="B14" s="90" t="s">
        <v>240</v>
      </c>
      <c r="C14" s="90">
        <v>1</v>
      </c>
      <c r="D14" s="91">
        <f>G4*C14/1000</f>
        <v>1.6612</v>
      </c>
      <c r="E14" s="349">
        <v>3</v>
      </c>
      <c r="F14" s="359"/>
    </row>
    <row r="15" spans="1:7" x14ac:dyDescent="0.35">
      <c r="A15" s="1041" t="s">
        <v>281</v>
      </c>
      <c r="B15" s="1043" t="s">
        <v>240</v>
      </c>
      <c r="C15" s="1041">
        <v>0.9</v>
      </c>
      <c r="D15" s="1045">
        <f>G3*C15/1000</f>
        <v>1.4950800000000002</v>
      </c>
      <c r="E15" s="1041">
        <v>1</v>
      </c>
      <c r="F15" s="1038"/>
    </row>
    <row r="16" spans="1:7" ht="15" thickBot="1" x14ac:dyDescent="0.4">
      <c r="A16" s="1042"/>
      <c r="B16" s="1044"/>
      <c r="C16" s="1042"/>
      <c r="D16" s="1046"/>
      <c r="E16" s="1042"/>
      <c r="F16" s="1038"/>
    </row>
    <row r="17" spans="1:6" ht="15" thickBot="1" x14ac:dyDescent="0.4">
      <c r="A17" s="349" t="s">
        <v>249</v>
      </c>
      <c r="B17" s="90" t="s">
        <v>243</v>
      </c>
      <c r="C17" s="90">
        <v>0.5</v>
      </c>
      <c r="D17" s="92">
        <f>G6*C17/1000</f>
        <v>0.17794499999999999</v>
      </c>
      <c r="E17" s="349">
        <v>1</v>
      </c>
      <c r="F17" s="360"/>
    </row>
    <row r="18" spans="1:6" ht="26.5" thickBot="1" x14ac:dyDescent="0.4">
      <c r="A18" s="349" t="s">
        <v>282</v>
      </c>
      <c r="B18" s="90" t="s">
        <v>244</v>
      </c>
      <c r="C18" s="90">
        <v>0.4</v>
      </c>
      <c r="D18" s="92">
        <f>G7*C18/1000</f>
        <v>4.4412000000000007E-2</v>
      </c>
      <c r="E18" s="349">
        <v>1</v>
      </c>
      <c r="F18" s="359"/>
    </row>
    <row r="19" spans="1:6" ht="15" thickBot="1" x14ac:dyDescent="0.4">
      <c r="A19" s="349" t="s">
        <v>250</v>
      </c>
      <c r="B19" s="90" t="s">
        <v>244</v>
      </c>
      <c r="C19" s="90">
        <v>1.3</v>
      </c>
      <c r="D19" s="91">
        <f>G7*C19/1000</f>
        <v>0.144339</v>
      </c>
      <c r="E19" s="349">
        <v>1</v>
      </c>
      <c r="F19" s="360"/>
    </row>
    <row r="20" spans="1:6" ht="15" thickBot="1" x14ac:dyDescent="0.4">
      <c r="A20" s="349" t="s">
        <v>251</v>
      </c>
      <c r="B20" s="90" t="s">
        <v>244</v>
      </c>
      <c r="C20" s="90">
        <v>0.4</v>
      </c>
      <c r="D20" s="92">
        <f>G7*C20/1000</f>
        <v>4.4412000000000007E-2</v>
      </c>
      <c r="E20" s="349"/>
      <c r="F20" s="359"/>
    </row>
    <row r="21" spans="1:6" ht="15" thickBot="1" x14ac:dyDescent="0.4">
      <c r="A21" s="349" t="s">
        <v>252</v>
      </c>
      <c r="B21" s="90" t="s">
        <v>244</v>
      </c>
      <c r="C21" s="90">
        <v>0.15</v>
      </c>
      <c r="D21" s="92">
        <f>G7*C21/1000</f>
        <v>1.6654499999999999E-2</v>
      </c>
      <c r="E21" s="349"/>
      <c r="F21" s="359"/>
    </row>
    <row r="22" spans="1:6" ht="15" thickBot="1" x14ac:dyDescent="0.4">
      <c r="A22" s="349" t="s">
        <v>283</v>
      </c>
      <c r="B22" s="90" t="s">
        <v>245</v>
      </c>
      <c r="C22" s="90">
        <v>2</v>
      </c>
      <c r="D22" s="91">
        <f>G8*C22/1000</f>
        <v>0.66354000000000002</v>
      </c>
      <c r="E22" s="349">
        <v>1</v>
      </c>
      <c r="F22" s="360"/>
    </row>
    <row r="23" spans="1:6" ht="15" thickBot="1" x14ac:dyDescent="0.4">
      <c r="A23" s="349" t="s">
        <v>253</v>
      </c>
      <c r="B23" s="90" t="s">
        <v>245</v>
      </c>
      <c r="C23" s="90">
        <v>0.7</v>
      </c>
      <c r="D23" s="92">
        <f>G8*C23/1000</f>
        <v>0.23223899999999997</v>
      </c>
      <c r="E23" s="349"/>
      <c r="F23" s="359"/>
    </row>
    <row r="24" spans="1:6" ht="15" thickBot="1" x14ac:dyDescent="0.4">
      <c r="A24" s="349" t="s">
        <v>254</v>
      </c>
      <c r="B24" s="90" t="s">
        <v>245</v>
      </c>
      <c r="C24" s="90">
        <v>2.4</v>
      </c>
      <c r="D24" s="91">
        <f>G8*C24/1000</f>
        <v>0.79624799999999996</v>
      </c>
      <c r="E24" s="349">
        <v>1</v>
      </c>
      <c r="F24" s="360"/>
    </row>
    <row r="25" spans="1:6" ht="15" thickBot="1" x14ac:dyDescent="0.4">
      <c r="A25" s="349" t="s">
        <v>255</v>
      </c>
      <c r="B25" s="90" t="s">
        <v>241</v>
      </c>
      <c r="C25" s="90">
        <v>0.65</v>
      </c>
      <c r="D25" s="92">
        <f>G4*C25/1000</f>
        <v>1.07978</v>
      </c>
      <c r="E25" s="349">
        <v>1</v>
      </c>
      <c r="F25" s="360"/>
    </row>
    <row r="26" spans="1:6" ht="15" thickBot="1" x14ac:dyDescent="0.4">
      <c r="A26" s="349" t="s">
        <v>284</v>
      </c>
      <c r="B26" s="90" t="s">
        <v>257</v>
      </c>
      <c r="C26" s="90">
        <v>1.3</v>
      </c>
      <c r="D26" s="93">
        <f>G6*C26/1000</f>
        <v>0.46265699999999998</v>
      </c>
      <c r="E26" s="349">
        <v>1</v>
      </c>
      <c r="F26" s="359"/>
    </row>
    <row r="27" spans="1:6" ht="26.5" thickBot="1" x14ac:dyDescent="0.4">
      <c r="A27" s="349" t="s">
        <v>285</v>
      </c>
      <c r="B27" s="90" t="s">
        <v>245</v>
      </c>
      <c r="C27" s="90">
        <v>1.3</v>
      </c>
      <c r="D27" s="92">
        <f>G8*C27/1000</f>
        <v>0.43130099999999999</v>
      </c>
      <c r="E27" s="349">
        <v>1</v>
      </c>
      <c r="F27" s="359"/>
    </row>
    <row r="28" spans="1:6" ht="15" thickBot="1" x14ac:dyDescent="0.4">
      <c r="A28" s="349" t="s">
        <v>256</v>
      </c>
      <c r="B28" s="90" t="s">
        <v>257</v>
      </c>
      <c r="C28" s="90">
        <v>1.3</v>
      </c>
      <c r="D28" s="93">
        <f>G6*C28/1000</f>
        <v>0.46265699999999998</v>
      </c>
      <c r="E28" s="349">
        <v>1</v>
      </c>
      <c r="F28" s="359"/>
    </row>
    <row r="29" spans="1:6" ht="26.5" thickBot="1" x14ac:dyDescent="0.4">
      <c r="A29" s="349" t="s">
        <v>258</v>
      </c>
      <c r="B29" s="90" t="s">
        <v>245</v>
      </c>
      <c r="C29" s="90">
        <v>0.65</v>
      </c>
      <c r="D29" s="93">
        <f>G8*C29/1000</f>
        <v>0.21565049999999999</v>
      </c>
      <c r="E29" s="349"/>
      <c r="F29" s="359"/>
    </row>
    <row r="30" spans="1:6" ht="15" thickBot="1" x14ac:dyDescent="0.4">
      <c r="A30" s="349" t="s">
        <v>259</v>
      </c>
      <c r="B30" s="90" t="s">
        <v>246</v>
      </c>
      <c r="C30" s="90">
        <v>1.3</v>
      </c>
      <c r="D30" s="92">
        <f>G4*C30/1000</f>
        <v>2.1595599999999999</v>
      </c>
      <c r="E30" s="349">
        <v>1</v>
      </c>
      <c r="F30" s="360"/>
    </row>
    <row r="31" spans="1:6" ht="15" thickBot="1" x14ac:dyDescent="0.4">
      <c r="A31" s="349" t="s">
        <v>260</v>
      </c>
      <c r="B31" s="90" t="s">
        <v>246</v>
      </c>
      <c r="C31" s="90">
        <v>0.25</v>
      </c>
      <c r="D31" s="92">
        <f>G4*C31/1000</f>
        <v>0.4153</v>
      </c>
      <c r="E31" s="349"/>
      <c r="F31" s="359"/>
    </row>
    <row r="32" spans="1:6" ht="15" thickBot="1" x14ac:dyDescent="0.4">
      <c r="A32" s="349" t="s">
        <v>261</v>
      </c>
      <c r="B32" s="90" t="s">
        <v>243</v>
      </c>
      <c r="C32" s="90">
        <v>1.3</v>
      </c>
      <c r="D32" s="92">
        <f>G6*C32/1000</f>
        <v>0.46265699999999998</v>
      </c>
      <c r="E32" s="349">
        <v>1</v>
      </c>
      <c r="F32" s="359"/>
    </row>
    <row r="33" spans="1:6" ht="15" thickBot="1" x14ac:dyDescent="0.4">
      <c r="A33" s="94" t="s">
        <v>286</v>
      </c>
      <c r="B33" s="95"/>
      <c r="C33" s="96"/>
      <c r="D33" s="97">
        <f>SUM(D14:D32)</f>
        <v>10.965632000000001</v>
      </c>
      <c r="E33" s="94">
        <f>SUM(E14:E32)</f>
        <v>15</v>
      </c>
      <c r="F33" s="361"/>
    </row>
    <row r="34" spans="1:6" ht="15" thickBot="1" x14ac:dyDescent="0.4">
      <c r="A34" s="354" t="s">
        <v>287</v>
      </c>
      <c r="B34" s="355"/>
      <c r="C34" s="356"/>
      <c r="D34" s="357">
        <f>D33*1.2</f>
        <v>13.158758400000002</v>
      </c>
      <c r="E34" s="354">
        <v>14.4</v>
      </c>
      <c r="F34" s="361"/>
    </row>
    <row r="35" spans="1:6" ht="15" thickBot="1" x14ac:dyDescent="0.4">
      <c r="A35" s="101" t="s">
        <v>262</v>
      </c>
      <c r="B35" s="100" t="s">
        <v>243</v>
      </c>
      <c r="C35" s="100">
        <v>1.3</v>
      </c>
      <c r="D35" s="102">
        <f>G6*C35/1000</f>
        <v>0.46265699999999998</v>
      </c>
      <c r="E35" s="101">
        <v>1</v>
      </c>
      <c r="F35" s="361"/>
    </row>
    <row r="36" spans="1:6" ht="15" thickBot="1" x14ac:dyDescent="0.4">
      <c r="A36" s="349" t="s">
        <v>263</v>
      </c>
      <c r="B36" s="90" t="s">
        <v>246</v>
      </c>
      <c r="C36" s="90">
        <v>0.7</v>
      </c>
      <c r="D36" s="92">
        <f>G4*C36/1000</f>
        <v>1.1628399999999999</v>
      </c>
      <c r="E36" s="349">
        <v>1</v>
      </c>
      <c r="F36" s="359"/>
    </row>
    <row r="37" spans="1:6" ht="15" thickBot="1" x14ac:dyDescent="0.4">
      <c r="A37" s="349" t="s">
        <v>264</v>
      </c>
      <c r="B37" s="90" t="s">
        <v>243</v>
      </c>
      <c r="C37" s="90">
        <v>1.3</v>
      </c>
      <c r="D37" s="93">
        <f>G6*C37/1000</f>
        <v>0.46265699999999998</v>
      </c>
      <c r="E37" s="349">
        <v>1</v>
      </c>
      <c r="F37" s="359"/>
    </row>
    <row r="38" spans="1:6" ht="15" thickBot="1" x14ac:dyDescent="0.4">
      <c r="A38" s="349" t="s">
        <v>265</v>
      </c>
      <c r="B38" s="90" t="s">
        <v>246</v>
      </c>
      <c r="C38" s="90">
        <v>0.4</v>
      </c>
      <c r="D38" s="103">
        <f>G4*C38/1000</f>
        <v>0.66448000000000007</v>
      </c>
      <c r="E38" s="349">
        <v>1</v>
      </c>
      <c r="F38" s="360"/>
    </row>
    <row r="39" spans="1:6" ht="15" thickBot="1" x14ac:dyDescent="0.4">
      <c r="A39" s="349" t="s">
        <v>266</v>
      </c>
      <c r="B39" s="90" t="s">
        <v>244</v>
      </c>
      <c r="C39" s="90">
        <v>1.3</v>
      </c>
      <c r="D39" s="93">
        <f>G7*C39/1000</f>
        <v>0.144339</v>
      </c>
      <c r="E39" s="349">
        <v>1</v>
      </c>
      <c r="F39" s="360"/>
    </row>
    <row r="40" spans="1:6" ht="26.5" thickBot="1" x14ac:dyDescent="0.4">
      <c r="A40" s="349" t="s">
        <v>288</v>
      </c>
      <c r="B40" s="90" t="s">
        <v>244</v>
      </c>
      <c r="C40" s="90">
        <v>0.15</v>
      </c>
      <c r="D40" s="93">
        <f>G7*C40/1000</f>
        <v>1.6654499999999999E-2</v>
      </c>
      <c r="E40" s="349" t="s">
        <v>180</v>
      </c>
      <c r="F40" s="359"/>
    </row>
    <row r="41" spans="1:6" ht="15" thickBot="1" x14ac:dyDescent="0.4">
      <c r="A41" s="349" t="s">
        <v>267</v>
      </c>
      <c r="B41" s="90" t="s">
        <v>245</v>
      </c>
      <c r="C41" s="90">
        <v>1.3</v>
      </c>
      <c r="D41" s="92">
        <f>G8*C41/1000</f>
        <v>0.43130099999999999</v>
      </c>
      <c r="E41" s="349">
        <v>1</v>
      </c>
      <c r="F41" s="360"/>
    </row>
    <row r="42" spans="1:6" ht="15" thickBot="1" x14ac:dyDescent="0.4">
      <c r="A42" s="349" t="s">
        <v>268</v>
      </c>
      <c r="B42" s="90" t="s">
        <v>242</v>
      </c>
      <c r="C42" s="90">
        <v>1.3</v>
      </c>
      <c r="D42" s="93">
        <f>G5*C42/1000</f>
        <v>1.7282590000000002</v>
      </c>
      <c r="E42" s="349">
        <v>1</v>
      </c>
      <c r="F42" s="359"/>
    </row>
    <row r="43" spans="1:6" ht="26.5" thickBot="1" x14ac:dyDescent="0.4">
      <c r="A43" s="349" t="s">
        <v>269</v>
      </c>
      <c r="B43" s="90" t="s">
        <v>244</v>
      </c>
      <c r="C43" s="90">
        <v>1</v>
      </c>
      <c r="D43" s="92">
        <f>G7*C43/1000</f>
        <v>0.11103</v>
      </c>
      <c r="E43" s="349">
        <v>1</v>
      </c>
      <c r="F43" s="359"/>
    </row>
    <row r="44" spans="1:6" ht="26.5" thickBot="1" x14ac:dyDescent="0.4">
      <c r="A44" s="349" t="s">
        <v>289</v>
      </c>
      <c r="B44" s="90" t="s">
        <v>245</v>
      </c>
      <c r="C44" s="90">
        <v>2.5</v>
      </c>
      <c r="D44" s="93">
        <f>G8*C44/1000</f>
        <v>0.82942499999999997</v>
      </c>
      <c r="E44" s="349">
        <v>1</v>
      </c>
      <c r="F44" s="359"/>
    </row>
    <row r="45" spans="1:6" ht="15" thickBot="1" x14ac:dyDescent="0.4">
      <c r="A45" s="349" t="s">
        <v>290</v>
      </c>
      <c r="B45" s="90" t="s">
        <v>270</v>
      </c>
      <c r="C45" s="90">
        <v>0.15</v>
      </c>
      <c r="D45" s="92">
        <f>G10*C45/1000</f>
        <v>0.2325255</v>
      </c>
      <c r="E45" s="349" t="s">
        <v>180</v>
      </c>
      <c r="F45" s="359"/>
    </row>
    <row r="46" spans="1:6" ht="26.5" thickBot="1" x14ac:dyDescent="0.4">
      <c r="A46" s="349" t="s">
        <v>271</v>
      </c>
      <c r="B46" s="90" t="s">
        <v>244</v>
      </c>
      <c r="C46" s="90">
        <v>0.8</v>
      </c>
      <c r="D46" s="92">
        <f>G7*C46/1000</f>
        <v>8.8824000000000014E-2</v>
      </c>
      <c r="E46" s="349">
        <v>1</v>
      </c>
      <c r="F46" s="359"/>
    </row>
    <row r="47" spans="1:6" ht="15" thickBot="1" x14ac:dyDescent="0.4">
      <c r="A47" s="98" t="s">
        <v>291</v>
      </c>
      <c r="B47" s="99"/>
      <c r="C47" s="100"/>
      <c r="D47" s="104">
        <f>SUM(D35:D46)</f>
        <v>6.3349920000000006</v>
      </c>
      <c r="E47" s="98">
        <v>10</v>
      </c>
      <c r="F47" s="361"/>
    </row>
    <row r="48" spans="1:6" ht="26.5" thickBot="1" x14ac:dyDescent="0.4">
      <c r="A48" s="94" t="s">
        <v>292</v>
      </c>
      <c r="B48" s="95"/>
      <c r="C48" s="96"/>
      <c r="D48" s="105">
        <f>D47*1.2</f>
        <v>7.6019904</v>
      </c>
      <c r="E48" s="105">
        <f>E47*1.2</f>
        <v>12</v>
      </c>
      <c r="F48" s="361"/>
    </row>
    <row r="49" spans="1:7" ht="26.25" customHeight="1" thickBot="1" x14ac:dyDescent="0.4">
      <c r="A49" s="106" t="s">
        <v>293</v>
      </c>
      <c r="B49" s="96"/>
      <c r="C49" s="96"/>
      <c r="D49" s="105">
        <f>D34+D48</f>
        <v>20.760748800000002</v>
      </c>
      <c r="E49" s="106">
        <f>E33+E47</f>
        <v>25</v>
      </c>
      <c r="F49" s="361"/>
    </row>
    <row r="50" spans="1:7" ht="50.25" customHeight="1" x14ac:dyDescent="0.35">
      <c r="A50" s="1039" t="s">
        <v>294</v>
      </c>
      <c r="B50" s="1039"/>
      <c r="C50" s="1039"/>
      <c r="D50" s="1039"/>
      <c r="E50" s="1039"/>
      <c r="F50" s="1040"/>
      <c r="G50" s="107"/>
    </row>
    <row r="51" spans="1:7" ht="50.25" customHeight="1" x14ac:dyDescent="0.35">
      <c r="A51" s="493"/>
      <c r="B51" s="493"/>
      <c r="C51" s="493"/>
      <c r="D51" s="493"/>
      <c r="E51" s="493"/>
      <c r="F51" s="493"/>
      <c r="G51" s="107"/>
    </row>
    <row r="52" spans="1:7" x14ac:dyDescent="0.35">
      <c r="A52" t="s">
        <v>1047</v>
      </c>
    </row>
  </sheetData>
  <mergeCells count="14">
    <mergeCell ref="F15:F16"/>
    <mergeCell ref="A50:F50"/>
    <mergeCell ref="A15:A16"/>
    <mergeCell ref="B15:B16"/>
    <mergeCell ref="C15:C16"/>
    <mergeCell ref="D15:D16"/>
    <mergeCell ref="E15:E16"/>
    <mergeCell ref="A4:E4"/>
    <mergeCell ref="A5:E5"/>
    <mergeCell ref="A11:A13"/>
    <mergeCell ref="B11:B13"/>
    <mergeCell ref="C11:C13"/>
    <mergeCell ref="D11:D13"/>
    <mergeCell ref="E11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норм шт</vt:lpstr>
      <vt:lpstr>рас нор чис АУП</vt:lpstr>
      <vt:lpstr>расч.числ рабочих</vt:lpstr>
      <vt:lpstr>сетка</vt:lpstr>
      <vt:lpstr>ШТАТ</vt:lpstr>
      <vt:lpstr>2.2</vt:lpstr>
      <vt:lpstr>2.1</vt:lpstr>
      <vt:lpstr>1.4</vt:lpstr>
      <vt:lpstr>норм маш</vt:lpstr>
      <vt:lpstr>прочие</vt:lpstr>
      <vt:lpstr>командировки</vt:lpstr>
      <vt:lpstr>проезд в отпуск</vt:lpstr>
      <vt:lpstr>соцнужды кенада</vt:lpstr>
      <vt:lpstr>1.15</vt:lpstr>
      <vt:lpstr>нвв</vt:lpstr>
      <vt:lpstr>1.16</vt:lpstr>
      <vt:lpstr>1.20</vt:lpstr>
      <vt:lpstr>1.21</vt:lpstr>
      <vt:lpstr>1.24</vt:lpstr>
      <vt:lpstr>1.25</vt:lpstr>
      <vt:lpstr>МАТЕР ВСЕГО</vt:lpstr>
      <vt:lpstr>МАТЕРИАЛЫ</vt:lpstr>
      <vt:lpstr>МАТ АВТО</vt:lpstr>
      <vt:lpstr>МАТ ЭЛ БЕЗ охрана труда</vt:lpstr>
      <vt:lpstr>КОММУН</vt:lpstr>
      <vt:lpstr>СПЕЦ ЖИД</vt:lpstr>
      <vt:lpstr>ТОПЛИВО</vt:lpstr>
      <vt:lpstr>КАП ВЛОЖ</vt:lpstr>
      <vt:lpstr>расчет ам</vt:lpstr>
      <vt:lpstr>расчет среднегодов стоим</vt:lpstr>
      <vt:lpstr>мэс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2015-04-26T23:02:31Z</dcterms:modified>
</cp:coreProperties>
</file>